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ma\Dropbox\Laptop april 2016\Greg\"/>
    </mc:Choice>
  </mc:AlternateContent>
  <workbookProtection workbookAlgorithmName="SHA-512" workbookHashValue="fi4U1MDmKQa6FocI7s7F00MMLiHNKE4z+FpsqO0gJTo1gnDAxMhL0t6mtzz+AytE/HRafsyiDAC5gYgXX48xww==" workbookSaltValue="4U6WNqw67a8Z20whkLWyCA==" workbookSpinCount="100000" lockStructure="1"/>
  <bookViews>
    <workbookView xWindow="0" yWindow="0" windowWidth="23040" windowHeight="9240"/>
  </bookViews>
  <sheets>
    <sheet name="Data input" sheetId="1" r:id="rId1"/>
    <sheet name="Interest" sheetId="3" state="hidden" r:id="rId2"/>
    <sheet name="Calculations" sheetId="2" state="hidden" r:id="rId3"/>
  </sheets>
  <definedNames>
    <definedName name="BankBrok">Calculations!$W$20</definedName>
    <definedName name="BankPerc">Calculations!$W$19</definedName>
    <definedName name="BankYears">Calculations!$S$25:$T$34</definedName>
    <definedName name="ChattelBrok">Calculations!$O$20</definedName>
    <definedName name="ChattelPerc">Calculations!$O$19</definedName>
    <definedName name="CHATTELYEARS">Calculations!$K$25:$L$34</definedName>
    <definedName name="depri">Calculations!$D$9</definedName>
    <definedName name="EOFTable">Calculations!$A$44:$AB$107</definedName>
    <definedName name="interest">Interest!$C$9:$G$18</definedName>
    <definedName name="nonprofit">'Data input'!$Q$14</definedName>
    <definedName name="RentalBrok">Calculations!$G$20</definedName>
    <definedName name="rentalPerc">Calculations!$G$19</definedName>
    <definedName name="rentaltable">Calculations!$C$25:$D$34</definedName>
    <definedName name="revenueless2">Calculations!$G$2</definedName>
    <definedName name="taxrate">Calculations!$D$11</definedName>
    <definedName name="term">'Data input'!$E$6</definedName>
    <definedName name="value">'Data input'!$E$5</definedName>
    <definedName name="Value1">Calculations!$D$5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 r="AC40" i="2"/>
  <c r="AB40" i="2"/>
  <c r="AB42" i="2"/>
  <c r="AB43" i="2"/>
  <c r="AB44" i="2"/>
  <c r="AC47" i="2"/>
  <c r="AB47" i="2"/>
  <c r="AB49" i="2"/>
  <c r="AB50" i="2"/>
  <c r="AB51" i="2"/>
  <c r="I20" i="1"/>
  <c r="AC54" i="2"/>
  <c r="AB54" i="2"/>
  <c r="AB56" i="2"/>
  <c r="AB57" i="2"/>
  <c r="AB58" i="2"/>
  <c r="I21" i="1"/>
  <c r="AC61" i="2"/>
  <c r="AB61" i="2"/>
  <c r="AB63" i="2"/>
  <c r="AB64" i="2"/>
  <c r="AB65" i="2"/>
  <c r="I22" i="1"/>
  <c r="AC68" i="2"/>
  <c r="AB68" i="2"/>
  <c r="AB70" i="2"/>
  <c r="AB71" i="2"/>
  <c r="AB72" i="2"/>
  <c r="I23" i="1"/>
  <c r="AC75" i="2"/>
  <c r="AB75" i="2"/>
  <c r="AB77" i="2"/>
  <c r="AB78" i="2"/>
  <c r="AB79" i="2"/>
  <c r="I24" i="1"/>
  <c r="I25" i="1"/>
  <c r="I26" i="1"/>
  <c r="I27" i="1"/>
  <c r="I28" i="1"/>
  <c r="A19" i="1"/>
  <c r="A20" i="1"/>
  <c r="K20" i="1"/>
  <c r="A21" i="1"/>
  <c r="K21" i="1"/>
  <c r="A22" i="1"/>
  <c r="K22" i="1"/>
  <c r="A23" i="1"/>
  <c r="K23" i="1"/>
  <c r="A24" i="1"/>
  <c r="K24" i="1"/>
  <c r="A25" i="1"/>
  <c r="K25" i="1"/>
  <c r="A26" i="1"/>
  <c r="K26" i="1"/>
  <c r="A27" i="1"/>
  <c r="K27" i="1"/>
  <c r="A28" i="1"/>
  <c r="K28" i="1"/>
  <c r="K19" i="1"/>
  <c r="Q18" i="1"/>
  <c r="B26" i="1"/>
  <c r="B27" i="1"/>
  <c r="B20" i="1"/>
  <c r="AC46" i="2"/>
  <c r="AC51" i="2"/>
  <c r="AC44" i="2"/>
  <c r="D9" i="2"/>
  <c r="D11" i="2"/>
  <c r="D5" i="2"/>
  <c r="AB13" i="2"/>
  <c r="AB25" i="2"/>
  <c r="F5" i="2"/>
  <c r="AB37" i="2"/>
  <c r="B21" i="1"/>
  <c r="AC53" i="2"/>
  <c r="AC58" i="2"/>
  <c r="B22" i="1"/>
  <c r="AC60" i="2"/>
  <c r="AC65" i="2"/>
  <c r="B23" i="1"/>
  <c r="AC67" i="2"/>
  <c r="AC72" i="2"/>
  <c r="B24" i="1"/>
  <c r="AC79" i="2"/>
  <c r="B25" i="1"/>
  <c r="AC86" i="2"/>
  <c r="AB82" i="2"/>
  <c r="AB84" i="2"/>
  <c r="AB85" i="2"/>
  <c r="AB86" i="2"/>
  <c r="B28" i="1"/>
  <c r="AC74" i="2"/>
  <c r="AC81" i="2"/>
  <c r="AC82" i="2"/>
  <c r="H6" i="1"/>
  <c r="L13" i="2"/>
  <c r="J14" i="2"/>
  <c r="O14" i="2"/>
  <c r="J15" i="2"/>
  <c r="O15" i="2"/>
  <c r="J16" i="2"/>
  <c r="O16" i="2"/>
  <c r="J17" i="2"/>
  <c r="O17" i="2"/>
  <c r="O19" i="2"/>
  <c r="L22" i="2"/>
  <c r="D13" i="2"/>
  <c r="B14" i="2"/>
  <c r="G14" i="2"/>
  <c r="B15" i="2"/>
  <c r="G15" i="2"/>
  <c r="B16" i="2"/>
  <c r="G16" i="2"/>
  <c r="B17" i="2"/>
  <c r="G17" i="2"/>
  <c r="B18" i="2"/>
  <c r="G18" i="2"/>
  <c r="G19" i="2"/>
  <c r="D22" i="2"/>
  <c r="T13" i="2"/>
  <c r="R14" i="2"/>
  <c r="W14" i="2"/>
  <c r="R15" i="2"/>
  <c r="W15" i="2"/>
  <c r="R16" i="2"/>
  <c r="W16" i="2"/>
  <c r="R17" i="2"/>
  <c r="W17" i="2"/>
  <c r="R18" i="2"/>
  <c r="W18" i="2"/>
  <c r="W19" i="2"/>
  <c r="T22" i="2"/>
  <c r="T25" i="2"/>
  <c r="T26" i="2"/>
  <c r="T27" i="2"/>
  <c r="T28" i="2"/>
  <c r="T29" i="2"/>
  <c r="T30" i="2"/>
  <c r="T31" i="2"/>
  <c r="T32" i="2"/>
  <c r="T33" i="2"/>
  <c r="T34" i="2"/>
  <c r="T35" i="2"/>
  <c r="G6" i="3"/>
  <c r="G9" i="3"/>
  <c r="T39" i="2"/>
  <c r="U40" i="2"/>
  <c r="T40" i="2"/>
  <c r="T42" i="2"/>
  <c r="T43" i="2"/>
  <c r="G10" i="3"/>
  <c r="T46" i="2"/>
  <c r="U47" i="2"/>
  <c r="U46" i="2"/>
  <c r="T47" i="2"/>
  <c r="T49" i="2"/>
  <c r="T50" i="2"/>
  <c r="G11" i="3"/>
  <c r="T53" i="2"/>
  <c r="U54" i="2"/>
  <c r="U53" i="2"/>
  <c r="T54" i="2"/>
  <c r="T56" i="2"/>
  <c r="T57" i="2"/>
  <c r="G12" i="3"/>
  <c r="T60" i="2"/>
  <c r="U61" i="2"/>
  <c r="U60" i="2"/>
  <c r="T61" i="2"/>
  <c r="T63" i="2"/>
  <c r="T64" i="2"/>
  <c r="G13" i="3"/>
  <c r="T67" i="2"/>
  <c r="U68" i="2"/>
  <c r="U67" i="2"/>
  <c r="T68" i="2"/>
  <c r="T70" i="2"/>
  <c r="T71" i="2"/>
  <c r="G14" i="3"/>
  <c r="T74" i="2"/>
  <c r="U75" i="2"/>
  <c r="U74" i="2"/>
  <c r="T75" i="2"/>
  <c r="T77" i="2"/>
  <c r="T78" i="2"/>
  <c r="G15" i="3"/>
  <c r="T81" i="2"/>
  <c r="U82" i="2"/>
  <c r="U81" i="2"/>
  <c r="T82" i="2"/>
  <c r="T84" i="2"/>
  <c r="T85" i="2"/>
  <c r="U88" i="2"/>
  <c r="T92" i="2"/>
  <c r="U95" i="2"/>
  <c r="T99" i="2"/>
  <c r="U102" i="2"/>
  <c r="T106" i="2"/>
  <c r="T37" i="2"/>
  <c r="T114" i="2"/>
  <c r="M46" i="2"/>
  <c r="M53" i="2"/>
  <c r="M60" i="2"/>
  <c r="M67" i="2"/>
  <c r="M74" i="2"/>
  <c r="M81" i="2"/>
  <c r="M88" i="2"/>
  <c r="M95" i="2"/>
  <c r="M102" i="2"/>
  <c r="M107" i="2"/>
  <c r="M100" i="2"/>
  <c r="M93" i="2"/>
  <c r="M86" i="2"/>
  <c r="M79" i="2"/>
  <c r="M72" i="2"/>
  <c r="M65" i="2"/>
  <c r="M58" i="2"/>
  <c r="M51" i="2"/>
  <c r="M44" i="2"/>
  <c r="L25" i="2"/>
  <c r="F6" i="3"/>
  <c r="F9" i="3"/>
  <c r="L39" i="2"/>
  <c r="M40" i="2"/>
  <c r="L40" i="2"/>
  <c r="L42" i="2"/>
  <c r="L43" i="2"/>
  <c r="L37" i="2"/>
  <c r="L44" i="2"/>
  <c r="L26" i="2"/>
  <c r="F10" i="3"/>
  <c r="L46" i="2"/>
  <c r="M47" i="2"/>
  <c r="L47" i="2"/>
  <c r="L49" i="2"/>
  <c r="L50" i="2"/>
  <c r="L51" i="2"/>
  <c r="L27" i="2"/>
  <c r="F11" i="3"/>
  <c r="L53" i="2"/>
  <c r="M54" i="2"/>
  <c r="L54" i="2"/>
  <c r="L56" i="2"/>
  <c r="L57" i="2"/>
  <c r="L58" i="2"/>
  <c r="L28" i="2"/>
  <c r="F12" i="3"/>
  <c r="L60" i="2"/>
  <c r="M61" i="2"/>
  <c r="L61" i="2"/>
  <c r="L63" i="2"/>
  <c r="L64" i="2"/>
  <c r="L65" i="2"/>
  <c r="L29" i="2"/>
  <c r="F13" i="3"/>
  <c r="L67" i="2"/>
  <c r="M68" i="2"/>
  <c r="L68" i="2"/>
  <c r="L70" i="2"/>
  <c r="L71" i="2"/>
  <c r="L72" i="2"/>
  <c r="L30" i="2"/>
  <c r="F14" i="3"/>
  <c r="L74" i="2"/>
  <c r="M75" i="2"/>
  <c r="L75" i="2"/>
  <c r="L77" i="2"/>
  <c r="L78" i="2"/>
  <c r="L79" i="2"/>
  <c r="L31" i="2"/>
  <c r="F15" i="3"/>
  <c r="L81" i="2"/>
  <c r="M82" i="2"/>
  <c r="L82" i="2"/>
  <c r="L84" i="2"/>
  <c r="L85" i="2"/>
  <c r="L86" i="2"/>
  <c r="L32" i="2"/>
  <c r="F16" i="3"/>
  <c r="L88" i="2"/>
  <c r="L89" i="2"/>
  <c r="L91" i="2"/>
  <c r="L92" i="2"/>
  <c r="L93" i="2"/>
  <c r="L33" i="2"/>
  <c r="F17" i="3"/>
  <c r="L95" i="2"/>
  <c r="L96" i="2"/>
  <c r="L98" i="2"/>
  <c r="L99" i="2"/>
  <c r="L100" i="2"/>
  <c r="L34" i="2"/>
  <c r="F18" i="3"/>
  <c r="L102" i="2"/>
  <c r="L103" i="2"/>
  <c r="L105" i="2"/>
  <c r="L106" i="2"/>
  <c r="L107" i="2"/>
  <c r="T103" i="2"/>
  <c r="T96" i="2"/>
  <c r="T89" i="2"/>
  <c r="D25" i="2"/>
  <c r="D26" i="2"/>
  <c r="D27" i="2"/>
  <c r="D28" i="2"/>
  <c r="D29" i="2"/>
  <c r="D30" i="2"/>
  <c r="D31" i="2"/>
  <c r="D32" i="2"/>
  <c r="D33" i="2"/>
  <c r="D34" i="2"/>
  <c r="D35" i="2"/>
  <c r="D41" i="2"/>
  <c r="D42" i="2"/>
  <c r="D43" i="2"/>
  <c r="D48" i="2"/>
  <c r="D49" i="2"/>
  <c r="D50" i="2"/>
  <c r="D55" i="2"/>
  <c r="D56" i="2"/>
  <c r="D57" i="2"/>
  <c r="D62" i="2"/>
  <c r="D63" i="2"/>
  <c r="D64" i="2"/>
  <c r="D69" i="2"/>
  <c r="D70" i="2"/>
  <c r="D71" i="2"/>
  <c r="D110" i="2"/>
  <c r="D111" i="2"/>
  <c r="D76" i="2"/>
  <c r="D77" i="2"/>
  <c r="D78" i="2"/>
  <c r="D83" i="2"/>
  <c r="D84" i="2"/>
  <c r="D85" i="2"/>
  <c r="D90" i="2"/>
  <c r="D91" i="2"/>
  <c r="D92" i="2"/>
  <c r="D97" i="2"/>
  <c r="D98" i="2"/>
  <c r="D99" i="2"/>
  <c r="D104" i="2"/>
  <c r="D105" i="2"/>
  <c r="D106" i="2"/>
  <c r="D114" i="2"/>
  <c r="E107" i="2"/>
  <c r="E100" i="2"/>
  <c r="E93" i="2"/>
  <c r="E86" i="2"/>
  <c r="E79" i="2"/>
  <c r="E72" i="2"/>
  <c r="E65" i="2"/>
  <c r="E58" i="2"/>
  <c r="E51" i="2"/>
  <c r="D44" i="2"/>
  <c r="D51" i="2"/>
  <c r="D58" i="2"/>
  <c r="D65" i="2"/>
  <c r="D72" i="2"/>
  <c r="D79" i="2"/>
  <c r="D86" i="2"/>
  <c r="D93" i="2"/>
  <c r="D100" i="2"/>
  <c r="D107" i="2"/>
  <c r="U44" i="2"/>
  <c r="T44" i="2"/>
  <c r="U51" i="2"/>
  <c r="T51" i="2"/>
  <c r="U58" i="2"/>
  <c r="T58" i="2"/>
  <c r="U65" i="2"/>
  <c r="T65" i="2"/>
  <c r="U72" i="2"/>
  <c r="T72" i="2"/>
  <c r="E60" i="2"/>
  <c r="E67" i="2"/>
  <c r="E53" i="2"/>
  <c r="E46" i="2"/>
  <c r="E44" i="2"/>
  <c r="B103" i="2"/>
  <c r="B104" i="2"/>
  <c r="B105" i="2"/>
  <c r="B106" i="2"/>
  <c r="B107" i="2"/>
  <c r="B96" i="2"/>
  <c r="B97" i="2"/>
  <c r="B98" i="2"/>
  <c r="B99" i="2"/>
  <c r="B100" i="2"/>
  <c r="B89" i="2"/>
  <c r="B90" i="2"/>
  <c r="B91" i="2"/>
  <c r="B92" i="2"/>
  <c r="B93" i="2"/>
  <c r="B83" i="2"/>
  <c r="B84" i="2"/>
  <c r="B85" i="2"/>
  <c r="B86" i="2"/>
  <c r="B82" i="2"/>
  <c r="B75" i="2"/>
  <c r="B76" i="2"/>
  <c r="B77" i="2"/>
  <c r="B78" i="2"/>
  <c r="B79" i="2"/>
  <c r="B68" i="2"/>
  <c r="B69" i="2"/>
  <c r="B70" i="2"/>
  <c r="B71" i="2"/>
  <c r="B72" i="2"/>
  <c r="B61" i="2"/>
  <c r="B62" i="2"/>
  <c r="B63" i="2"/>
  <c r="B64" i="2"/>
  <c r="B65" i="2"/>
  <c r="B55" i="2"/>
  <c r="B56" i="2"/>
  <c r="B57" i="2"/>
  <c r="B58" i="2"/>
  <c r="B54" i="2"/>
  <c r="B47" i="2"/>
  <c r="B48" i="2"/>
  <c r="B49" i="2"/>
  <c r="B50" i="2"/>
  <c r="B51" i="2"/>
  <c r="B40" i="2"/>
  <c r="B41" i="2"/>
  <c r="B42" i="2"/>
  <c r="B43" i="2"/>
  <c r="B44" i="2"/>
  <c r="Z104" i="2"/>
  <c r="Z105" i="2"/>
  <c r="Z106" i="2"/>
  <c r="Z107" i="2"/>
  <c r="Z103" i="2"/>
  <c r="Z96" i="2"/>
  <c r="Z97" i="2"/>
  <c r="Z98" i="2"/>
  <c r="Z99" i="2"/>
  <c r="Z100" i="2"/>
  <c r="Z90" i="2"/>
  <c r="Z91" i="2"/>
  <c r="Z92" i="2"/>
  <c r="Z93" i="2"/>
  <c r="Z89" i="2"/>
  <c r="Z82" i="2"/>
  <c r="Z83" i="2"/>
  <c r="Z84" i="2"/>
  <c r="Z85" i="2"/>
  <c r="Z86" i="2"/>
  <c r="Z76" i="2"/>
  <c r="Z77" i="2"/>
  <c r="Z78" i="2"/>
  <c r="Z79" i="2"/>
  <c r="Z75" i="2"/>
  <c r="Z68" i="2"/>
  <c r="Z69" i="2"/>
  <c r="Z70" i="2"/>
  <c r="Z71" i="2"/>
  <c r="Z72" i="2"/>
  <c r="Z62" i="2"/>
  <c r="Z63" i="2"/>
  <c r="Z64" i="2"/>
  <c r="Z65" i="2"/>
  <c r="Z61" i="2"/>
  <c r="Z54" i="2"/>
  <c r="Z55" i="2"/>
  <c r="Z56" i="2"/>
  <c r="Z57" i="2"/>
  <c r="Z58" i="2"/>
  <c r="Z48" i="2"/>
  <c r="Z49" i="2"/>
  <c r="Z50" i="2"/>
  <c r="Z51" i="2"/>
  <c r="Z47" i="2"/>
  <c r="Z40" i="2"/>
  <c r="Z41" i="2"/>
  <c r="Z42" i="2"/>
  <c r="Z43" i="2"/>
  <c r="Z44" i="2"/>
  <c r="R103" i="2"/>
  <c r="R104" i="2"/>
  <c r="R105" i="2"/>
  <c r="R106" i="2"/>
  <c r="R107" i="2"/>
  <c r="R96" i="2"/>
  <c r="R97" i="2"/>
  <c r="R98" i="2"/>
  <c r="R99" i="2"/>
  <c r="R100" i="2"/>
  <c r="R89" i="2"/>
  <c r="R90" i="2"/>
  <c r="R91" i="2"/>
  <c r="R92" i="2"/>
  <c r="R93" i="2"/>
  <c r="R82" i="2"/>
  <c r="R83" i="2"/>
  <c r="R84" i="2"/>
  <c r="R85" i="2"/>
  <c r="R86" i="2"/>
  <c r="R75" i="2"/>
  <c r="R76" i="2"/>
  <c r="R77" i="2"/>
  <c r="R78" i="2"/>
  <c r="R79" i="2"/>
  <c r="R68" i="2"/>
  <c r="R69" i="2"/>
  <c r="R70" i="2"/>
  <c r="R71" i="2"/>
  <c r="R72" i="2"/>
  <c r="R61" i="2"/>
  <c r="R62" i="2"/>
  <c r="R63" i="2"/>
  <c r="R64" i="2"/>
  <c r="R65" i="2"/>
  <c r="R54" i="2"/>
  <c r="R55" i="2"/>
  <c r="R56" i="2"/>
  <c r="R57" i="2"/>
  <c r="R58" i="2"/>
  <c r="R47" i="2"/>
  <c r="R48" i="2"/>
  <c r="R49" i="2"/>
  <c r="R50" i="2"/>
  <c r="R51" i="2"/>
  <c r="R40" i="2"/>
  <c r="R41" i="2"/>
  <c r="R42" i="2"/>
  <c r="R43" i="2"/>
  <c r="R44" i="2"/>
  <c r="J103" i="2"/>
  <c r="J104" i="2"/>
  <c r="J105" i="2"/>
  <c r="J106" i="2"/>
  <c r="J107" i="2"/>
  <c r="J96" i="2"/>
  <c r="J97" i="2"/>
  <c r="J98" i="2"/>
  <c r="J99" i="2"/>
  <c r="J100" i="2"/>
  <c r="J89" i="2"/>
  <c r="J90" i="2"/>
  <c r="J91" i="2"/>
  <c r="J92" i="2"/>
  <c r="J93" i="2"/>
  <c r="J82" i="2"/>
  <c r="J83" i="2"/>
  <c r="J84" i="2"/>
  <c r="J85" i="2"/>
  <c r="J86" i="2"/>
  <c r="J75" i="2"/>
  <c r="J76" i="2"/>
  <c r="J77" i="2"/>
  <c r="J78" i="2"/>
  <c r="J79" i="2"/>
  <c r="J68" i="2"/>
  <c r="J69" i="2"/>
  <c r="J70" i="2"/>
  <c r="J71" i="2"/>
  <c r="J72" i="2"/>
  <c r="J61" i="2"/>
  <c r="J62" i="2"/>
  <c r="J63" i="2"/>
  <c r="J64" i="2"/>
  <c r="J65" i="2"/>
  <c r="J54" i="2"/>
  <c r="J55" i="2"/>
  <c r="J56" i="2"/>
  <c r="J57" i="2"/>
  <c r="J58" i="2"/>
  <c r="J47" i="2"/>
  <c r="J48" i="2"/>
  <c r="J49" i="2"/>
  <c r="J50" i="2"/>
  <c r="J51" i="2"/>
  <c r="J40" i="2"/>
  <c r="J41" i="2"/>
  <c r="J42" i="2"/>
  <c r="J43" i="2"/>
  <c r="J44" i="2"/>
  <c r="D7" i="2"/>
  <c r="C4" i="3"/>
  <c r="C5" i="3"/>
  <c r="D18" i="3"/>
  <c r="E18" i="3"/>
  <c r="D14" i="3"/>
  <c r="D15" i="3"/>
  <c r="D16" i="3"/>
  <c r="D17" i="3"/>
  <c r="E14" i="3"/>
  <c r="E15" i="3"/>
  <c r="E16" i="3"/>
  <c r="E17" i="3"/>
  <c r="E11" i="3"/>
  <c r="E12" i="3"/>
  <c r="E13" i="3"/>
  <c r="D11" i="3"/>
  <c r="D12" i="3"/>
  <c r="B19" i="1"/>
  <c r="E82" i="2"/>
  <c r="E89" i="2"/>
  <c r="E68" i="2"/>
  <c r="E96" i="2"/>
  <c r="E47" i="2"/>
  <c r="E40" i="2"/>
  <c r="E61" i="2"/>
  <c r="AC89" i="2"/>
  <c r="E54" i="2"/>
  <c r="E75" i="2"/>
  <c r="E103" i="2"/>
  <c r="E74" i="2"/>
  <c r="AC96" i="2"/>
  <c r="AC103" i="2"/>
  <c r="M89" i="2"/>
  <c r="U96" i="2"/>
  <c r="U103" i="2"/>
  <c r="M96" i="2"/>
  <c r="M103" i="2"/>
  <c r="U89" i="2"/>
  <c r="D13" i="3"/>
  <c r="E81" i="2"/>
  <c r="U79" i="2"/>
  <c r="E88" i="2"/>
  <c r="U86" i="2"/>
  <c r="E95" i="2"/>
  <c r="U93" i="2"/>
  <c r="Z18" i="2"/>
  <c r="AE18" i="2"/>
  <c r="Z17" i="2"/>
  <c r="AE17" i="2"/>
  <c r="Z16" i="2"/>
  <c r="AE16" i="2"/>
  <c r="Z15" i="2"/>
  <c r="AE15" i="2"/>
  <c r="Z14" i="2"/>
  <c r="AE14" i="2"/>
  <c r="AB35" i="2"/>
  <c r="E102" i="2"/>
  <c r="AC88" i="2"/>
  <c r="U100" i="2"/>
  <c r="AE19" i="2"/>
  <c r="U107" i="2"/>
  <c r="AB89" i="2"/>
  <c r="AB91" i="2"/>
  <c r="AB92" i="2"/>
  <c r="AC93" i="2"/>
  <c r="AC95" i="2"/>
  <c r="AB96" i="2"/>
  <c r="AB98" i="2"/>
  <c r="AB99" i="2"/>
  <c r="V16" i="2"/>
  <c r="AC102" i="2"/>
  <c r="AC100" i="2"/>
  <c r="AC107" i="2"/>
  <c r="AB103" i="2"/>
  <c r="AB105" i="2"/>
  <c r="AB106" i="2"/>
  <c r="AB93" i="2"/>
  <c r="AB100" i="2"/>
  <c r="V18" i="2"/>
  <c r="V17" i="2"/>
  <c r="V15" i="2"/>
  <c r="V14" i="2"/>
  <c r="N17" i="2"/>
  <c r="N16" i="2"/>
  <c r="N15" i="2"/>
  <c r="N14" i="2"/>
  <c r="F18" i="2"/>
  <c r="F17" i="2"/>
  <c r="F16" i="2"/>
  <c r="F15" i="2"/>
  <c r="F14" i="2"/>
  <c r="AB107" i="2"/>
  <c r="I19" i="1"/>
  <c r="AB114" i="2"/>
  <c r="G18" i="3"/>
  <c r="T102" i="2"/>
  <c r="T105" i="2"/>
  <c r="G16" i="3"/>
  <c r="T88" i="2"/>
  <c r="T91" i="2"/>
  <c r="G17" i="3"/>
  <c r="T95" i="2"/>
  <c r="T98" i="2"/>
  <c r="E19" i="1"/>
  <c r="G19" i="1"/>
  <c r="C19" i="1"/>
  <c r="G20" i="1"/>
  <c r="E20" i="1"/>
  <c r="G21" i="1"/>
  <c r="E21" i="1"/>
  <c r="L35" i="2"/>
  <c r="L114" i="2"/>
  <c r="E22" i="1"/>
  <c r="G22" i="1"/>
  <c r="G23" i="1"/>
  <c r="E23" i="1"/>
  <c r="E24" i="1"/>
  <c r="T79" i="2"/>
  <c r="G24" i="1"/>
  <c r="T86" i="2"/>
  <c r="G25" i="1"/>
  <c r="E25" i="1"/>
  <c r="E26" i="1"/>
  <c r="T93" i="2"/>
  <c r="G26" i="1"/>
  <c r="T100" i="2"/>
  <c r="E28" i="1"/>
  <c r="E27" i="1"/>
  <c r="T107" i="2"/>
  <c r="G28" i="1"/>
  <c r="G27" i="1"/>
  <c r="C20" i="1"/>
  <c r="C21" i="1"/>
  <c r="C22" i="1"/>
  <c r="C23" i="1"/>
  <c r="C24" i="1"/>
  <c r="C25" i="1"/>
  <c r="C26" i="1"/>
  <c r="C27" i="1"/>
  <c r="C28" i="1"/>
</calcChain>
</file>

<file path=xl/sharedStrings.xml><?xml version="1.0" encoding="utf-8"?>
<sst xmlns="http://schemas.openxmlformats.org/spreadsheetml/2006/main" count="436" uniqueCount="131">
  <si>
    <t>System Cash Price ex-GST:</t>
  </si>
  <si>
    <t>Term (months):</t>
  </si>
  <si>
    <t>Deprecitation rate:</t>
  </si>
  <si>
    <t>Company Tax Rate:</t>
  </si>
  <si>
    <t>Operating Lease</t>
  </si>
  <si>
    <t>Chattel Mortgage</t>
  </si>
  <si>
    <t>Bank Loan</t>
  </si>
  <si>
    <t>Cash</t>
  </si>
  <si>
    <t>60 +</t>
  </si>
  <si>
    <t>Rental Brokerage</t>
  </si>
  <si>
    <t>Rental</t>
  </si>
  <si>
    <t>Chattel Brokerage</t>
  </si>
  <si>
    <t>Bank</t>
  </si>
  <si>
    <t>Bank Brokerage</t>
  </si>
  <si>
    <t>Amount:</t>
  </si>
  <si>
    <t>Term:</t>
  </si>
  <si>
    <t>check</t>
  </si>
  <si>
    <t>%</t>
  </si>
  <si>
    <t>Rental Rate</t>
  </si>
  <si>
    <t>Chattel Rate</t>
  </si>
  <si>
    <t>Bank Rate</t>
  </si>
  <si>
    <t>Y1</t>
  </si>
  <si>
    <t>Y2</t>
  </si>
  <si>
    <t>Y3</t>
  </si>
  <si>
    <t>Y4</t>
  </si>
  <si>
    <t>Y5</t>
  </si>
  <si>
    <t>LESS</t>
  </si>
  <si>
    <t>Y1 GST refund</t>
  </si>
  <si>
    <t>Tax deductions</t>
  </si>
  <si>
    <t>Y1 Interest</t>
  </si>
  <si>
    <t>Y1 Depreciation</t>
  </si>
  <si>
    <t>Y1 payments</t>
  </si>
  <si>
    <t>Total Y1</t>
  </si>
  <si>
    <t>Y1 Tax reduction</t>
  </si>
  <si>
    <t>EOFY 1 position</t>
  </si>
  <si>
    <t>Y2 Interest</t>
  </si>
  <si>
    <t>Y2 Depreciation</t>
  </si>
  <si>
    <t>Y2 payments</t>
  </si>
  <si>
    <t>Total Y2</t>
  </si>
  <si>
    <t>Y2 Tax reduction</t>
  </si>
  <si>
    <t>Y3 Interest</t>
  </si>
  <si>
    <t>Y3 Depreciation</t>
  </si>
  <si>
    <t>Y3 payments</t>
  </si>
  <si>
    <t>Total Y3</t>
  </si>
  <si>
    <t>Y3 Tax reduction</t>
  </si>
  <si>
    <t>EOFY3 position</t>
  </si>
  <si>
    <t>Y4 Interest</t>
  </si>
  <si>
    <t>Y4 Depreciation</t>
  </si>
  <si>
    <t>Y4 payments</t>
  </si>
  <si>
    <t>Total Y4</t>
  </si>
  <si>
    <t>Y4 Tax reduction</t>
  </si>
  <si>
    <t>EOFY4 position</t>
  </si>
  <si>
    <t>Y5 Interest</t>
  </si>
  <si>
    <t>Y5 Depreciation</t>
  </si>
  <si>
    <t>Y5 payments</t>
  </si>
  <si>
    <t>Total Y5</t>
  </si>
  <si>
    <t>Y5 Tax reduction</t>
  </si>
  <si>
    <t>EOFY5 position</t>
  </si>
  <si>
    <t>End of term</t>
  </si>
  <si>
    <t>Asset purchase</t>
  </si>
  <si>
    <t>EOterm Tax Reduction</t>
  </si>
  <si>
    <t xml:space="preserve"> </t>
  </si>
  <si>
    <t>Deprecitation :</t>
  </si>
  <si>
    <t>Tax Rate:</t>
  </si>
  <si>
    <t>5 year cost of asset in 2015 dollars</t>
  </si>
  <si>
    <t>EOFY2 position</t>
  </si>
  <si>
    <t>GST Included</t>
  </si>
  <si>
    <t>Chattel:</t>
  </si>
  <si>
    <t>Rental:</t>
  </si>
  <si>
    <t>Bank:</t>
  </si>
  <si>
    <t>Y6</t>
  </si>
  <si>
    <t>Y7</t>
  </si>
  <si>
    <t>Y8</t>
  </si>
  <si>
    <t>Y9</t>
  </si>
  <si>
    <t>Y10</t>
  </si>
  <si>
    <t>amount</t>
  </si>
  <si>
    <t>mth</t>
  </si>
  <si>
    <t>start</t>
  </si>
  <si>
    <t>end</t>
  </si>
  <si>
    <t>Chattel</t>
  </si>
  <si>
    <t>revenue of less than $2M AND the transaction size is $20,000 or less</t>
  </si>
  <si>
    <t>non profit company</t>
  </si>
  <si>
    <t>revenueless2</t>
  </si>
  <si>
    <t>EOFY2</t>
  </si>
  <si>
    <t>EOFY3</t>
  </si>
  <si>
    <t>EOFY4</t>
  </si>
  <si>
    <t>Y6 Interest</t>
  </si>
  <si>
    <t>Y6 Depreciation</t>
  </si>
  <si>
    <t>Y6 payments</t>
  </si>
  <si>
    <t>Total Y6</t>
  </si>
  <si>
    <t>Y6 Tax reduction</t>
  </si>
  <si>
    <t>EOFY6 position</t>
  </si>
  <si>
    <t>Y10 Interest</t>
  </si>
  <si>
    <t>Y10 Depreciation</t>
  </si>
  <si>
    <t>Y10 payments</t>
  </si>
  <si>
    <t>Total Y10</t>
  </si>
  <si>
    <t>Y10 Tax reduction</t>
  </si>
  <si>
    <t>EOFY10 position</t>
  </si>
  <si>
    <t>Y9 Interest</t>
  </si>
  <si>
    <t>Y9 Depreciation</t>
  </si>
  <si>
    <t>Y9 payments</t>
  </si>
  <si>
    <t>Total Y9</t>
  </si>
  <si>
    <t>Y9 Tax reduction</t>
  </si>
  <si>
    <t>EOFY9 position</t>
  </si>
  <si>
    <t>Y8 Interest</t>
  </si>
  <si>
    <t>Y8 Depreciation</t>
  </si>
  <si>
    <t>Y8 payments</t>
  </si>
  <si>
    <t>Total Y8</t>
  </si>
  <si>
    <t>Y8 Tax reduction</t>
  </si>
  <si>
    <t>EOFY8 position</t>
  </si>
  <si>
    <t>Y7 Interest</t>
  </si>
  <si>
    <t>Y7 Depreciation</t>
  </si>
  <si>
    <t>Y7 payments</t>
  </si>
  <si>
    <t>Total Y7</t>
  </si>
  <si>
    <t>Y7 Tax reduction</t>
  </si>
  <si>
    <t>EOFY7 position</t>
  </si>
  <si>
    <t>Cost of Ownership</t>
  </si>
  <si>
    <t>EOFY1 position</t>
  </si>
  <si>
    <t>EOFY1</t>
  </si>
  <si>
    <t>EOFY5</t>
  </si>
  <si>
    <t>EOFY6</t>
  </si>
  <si>
    <t>EOFY7</t>
  </si>
  <si>
    <t>EOFY8</t>
  </si>
  <si>
    <t>EOFY9</t>
  </si>
  <si>
    <t>EOFY10</t>
  </si>
  <si>
    <t>term / month</t>
  </si>
  <si>
    <t>5% straight line in line with ATO ruling of 20 year depreciation</t>
  </si>
  <si>
    <t>30% but for SME's change to 28.5%</t>
  </si>
  <si>
    <t>The company rate for businesses &lt;$10M may  change to 27.5% (subject to approval by parliament)</t>
  </si>
  <si>
    <t>This is not an offer of finance. The information presented is to assist you in making an informed decision about financial products and to support your decision to purchase a solar solution using finance. Terms, fees, charges and credit criteria apply. Different terms , fees and other loan amounts might result in a different results. Changes to government regulation, interest rates, fees and charges may affect the outcome. Application for finance submitted to ASM Money Pty Ltd ABN 88 158 031 960 are subject to credit approval, terms and conditions. The information presented in this spreadsheet does not present financial, accounting, general or personal advice nor is it a recommendation.</t>
  </si>
  <si>
    <r>
      <t>©</t>
    </r>
    <r>
      <rPr>
        <sz val="9.9"/>
        <color theme="1"/>
        <rFont val="Arial Unicode MS"/>
        <family val="2"/>
      </rPr>
      <t xml:space="preserve"> </t>
    </r>
    <r>
      <rPr>
        <sz val="11"/>
        <color theme="1"/>
        <rFont val="Arial Unicode MS"/>
        <family val="2"/>
      </rPr>
      <t>ASM Money Pty Ltd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</si>
</sst>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_(&quot;$&quot;* #,##0_);_(&quot;$&quot;* \(#,##0\);_(&quot;$&quot;* &quot;-&quot;??_);_(@_)"/>
    <numFmt numFmtId="166" formatCode="_(&quot;$&quot;* #,##0.00_);_(&quot;$&quot;* \(#,##0.00\);_(&quot;$&quot;* &quot;-&quot;_);_(@_)"/>
    <numFmt numFmtId="167" formatCode="0.0%"/>
  </numFmts>
  <fonts count="14" x14ac:knownFonts="1">
    <font>
      <sz val="11"/>
      <color theme="1"/>
      <name val="Calibri"/>
      <family val="2"/>
      <scheme val="minor"/>
    </font>
    <font>
      <sz val="11"/>
      <color theme="1"/>
      <name val="Calibri"/>
      <family val="2"/>
      <scheme val="minor"/>
    </font>
    <font>
      <b/>
      <sz val="14"/>
      <color theme="1"/>
      <name val="Arial Unicode MS"/>
      <family val="2"/>
    </font>
    <font>
      <b/>
      <sz val="11"/>
      <color theme="1"/>
      <name val="Arial Unicode MS"/>
      <family val="2"/>
    </font>
    <font>
      <sz val="11"/>
      <color theme="1"/>
      <name val="Arial Unicode MS"/>
      <family val="2"/>
    </font>
    <font>
      <b/>
      <sz val="12"/>
      <color theme="1"/>
      <name val="Arial Unicode MS"/>
      <family val="2"/>
    </font>
    <font>
      <sz val="10"/>
      <color theme="1"/>
      <name val="Arial Unicode MS"/>
      <family val="2"/>
    </font>
    <font>
      <b/>
      <i/>
      <sz val="11"/>
      <color theme="1"/>
      <name val="Calibri"/>
      <family val="2"/>
      <scheme val="minor"/>
    </font>
    <font>
      <sz val="11"/>
      <color theme="0" tint="-0.499984740745262"/>
      <name val="Arial Unicode MS"/>
      <family val="2"/>
    </font>
    <font>
      <sz val="11"/>
      <name val="Arial Unicode MS"/>
      <family val="2"/>
    </font>
    <font>
      <i/>
      <sz val="11"/>
      <color theme="1"/>
      <name val="Calibri"/>
      <family val="2"/>
      <scheme val="minor"/>
    </font>
    <font>
      <sz val="11"/>
      <color theme="0"/>
      <name val="Arial Unicode MS"/>
      <family val="2"/>
    </font>
    <font>
      <sz val="8"/>
      <color theme="1"/>
      <name val="Arial Unicode MS"/>
      <family val="2"/>
    </font>
    <font>
      <sz val="9.9"/>
      <color theme="1"/>
      <name val="Arial Unicode MS"/>
      <family val="2"/>
    </font>
  </fonts>
  <fills count="5">
    <fill>
      <patternFill patternType="none"/>
    </fill>
    <fill>
      <patternFill patternType="gray125"/>
    </fill>
    <fill>
      <patternFill patternType="solid">
        <fgColor theme="0"/>
        <bgColor indexed="64"/>
      </patternFill>
    </fill>
    <fill>
      <patternFill patternType="solid">
        <fgColor rgb="FFD8FCDB"/>
        <bgColor indexed="64"/>
      </patternFill>
    </fill>
    <fill>
      <patternFill patternType="solid">
        <fgColor rgb="FFBDE3B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0" fillId="0" borderId="0" xfId="0" applyAlignment="1">
      <alignment horizontal="right"/>
    </xf>
    <xf numFmtId="0" fontId="0" fillId="0" borderId="0" xfId="0" applyAlignment="1">
      <alignment horizontal="center"/>
    </xf>
    <xf numFmtId="10" fontId="4" fillId="2" borderId="2" xfId="0" applyNumberFormat="1" applyFont="1" applyFill="1" applyBorder="1" applyAlignment="1">
      <alignment horizontal="center"/>
    </xf>
    <xf numFmtId="43" fontId="4" fillId="0" borderId="0" xfId="2" applyFont="1"/>
    <xf numFmtId="0" fontId="4" fillId="0" borderId="0" xfId="0" applyFont="1" applyAlignment="1">
      <alignment horizontal="center"/>
    </xf>
    <xf numFmtId="0" fontId="5" fillId="0" borderId="0" xfId="0" applyFont="1" applyAlignment="1">
      <alignment horizontal="right"/>
    </xf>
    <xf numFmtId="0" fontId="4" fillId="0" borderId="0" xfId="0" applyFont="1"/>
    <xf numFmtId="0" fontId="5" fillId="0" borderId="0" xfId="0" applyFont="1" applyFill="1" applyAlignment="1">
      <alignment horizontal="right"/>
    </xf>
    <xf numFmtId="0" fontId="4" fillId="0" borderId="0" xfId="0" applyFont="1" applyAlignment="1">
      <alignment horizontal="right"/>
    </xf>
    <xf numFmtId="0" fontId="4" fillId="0" borderId="2" xfId="0" applyFont="1" applyFill="1" applyBorder="1" applyAlignment="1">
      <alignment horizontal="center"/>
    </xf>
    <xf numFmtId="0" fontId="0" fillId="0" borderId="0" xfId="0" applyAlignment="1">
      <alignment horizontal="right" wrapText="1"/>
    </xf>
    <xf numFmtId="44" fontId="0" fillId="0" borderId="0" xfId="1" applyFont="1" applyAlignment="1">
      <alignment horizont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right" wrapText="1"/>
    </xf>
    <xf numFmtId="0" fontId="0" fillId="0" borderId="0" xfId="0" applyAlignment="1">
      <alignment wrapText="1"/>
    </xf>
    <xf numFmtId="0" fontId="6" fillId="0" borderId="0" xfId="0" applyFont="1" applyAlignment="1">
      <alignment horizontal="right"/>
    </xf>
    <xf numFmtId="0" fontId="4" fillId="0" borderId="0" xfId="0" applyFont="1" applyProtection="1"/>
    <xf numFmtId="0" fontId="4" fillId="0" borderId="0" xfId="0" applyFont="1" applyAlignment="1" applyProtection="1">
      <alignment vertical="top"/>
    </xf>
    <xf numFmtId="42" fontId="4" fillId="0" borderId="0" xfId="1" applyNumberFormat="1" applyFont="1" applyProtection="1"/>
    <xf numFmtId="0" fontId="7" fillId="0" borderId="0" xfId="0" applyFont="1" applyFill="1" applyAlignment="1" applyProtection="1">
      <alignment horizontal="right"/>
    </xf>
    <xf numFmtId="44" fontId="5" fillId="3" borderId="2" xfId="1" applyFont="1" applyFill="1" applyBorder="1"/>
    <xf numFmtId="0" fontId="5" fillId="3" borderId="2" xfId="0" applyFont="1" applyFill="1" applyBorder="1" applyAlignment="1">
      <alignment horizontal="center"/>
    </xf>
    <xf numFmtId="9" fontId="5" fillId="3" borderId="2" xfId="1" applyNumberFormat="1" applyFont="1" applyFill="1" applyBorder="1" applyAlignment="1">
      <alignment horizontal="center"/>
    </xf>
    <xf numFmtId="9" fontId="5" fillId="3" borderId="2" xfId="0" applyNumberFormat="1" applyFont="1" applyFill="1" applyBorder="1" applyAlignment="1">
      <alignment horizontal="center"/>
    </xf>
    <xf numFmtId="0" fontId="4" fillId="3" borderId="2" xfId="0" applyFont="1" applyFill="1" applyBorder="1" applyAlignment="1">
      <alignment horizontal="center"/>
    </xf>
    <xf numFmtId="0" fontId="3" fillId="3" borderId="2" xfId="0" applyFont="1" applyFill="1" applyBorder="1" applyAlignment="1">
      <alignment horizontal="center"/>
    </xf>
    <xf numFmtId="0" fontId="4" fillId="3" borderId="2" xfId="0" applyFont="1" applyFill="1" applyBorder="1" applyAlignment="1">
      <alignment horizontal="right"/>
    </xf>
    <xf numFmtId="44" fontId="4" fillId="3" borderId="2" xfId="1" applyFont="1" applyFill="1" applyBorder="1"/>
    <xf numFmtId="10" fontId="4" fillId="3" borderId="2" xfId="3" applyNumberFormat="1" applyFont="1" applyFill="1" applyBorder="1" applyAlignment="1">
      <alignment horizontal="right"/>
    </xf>
    <xf numFmtId="10" fontId="5" fillId="3" borderId="2" xfId="0" applyNumberFormat="1" applyFont="1" applyFill="1" applyBorder="1" applyAlignment="1">
      <alignment horizontal="right"/>
    </xf>
    <xf numFmtId="9" fontId="5" fillId="3" borderId="2" xfId="0" applyNumberFormat="1" applyFont="1" applyFill="1" applyBorder="1" applyAlignment="1">
      <alignment horizontal="right"/>
    </xf>
    <xf numFmtId="42" fontId="5" fillId="3" borderId="2" xfId="1" applyNumberFormat="1" applyFont="1" applyFill="1" applyBorder="1"/>
    <xf numFmtId="42" fontId="4" fillId="0" borderId="0" xfId="0" applyNumberFormat="1" applyFont="1"/>
    <xf numFmtId="42" fontId="5" fillId="3" borderId="2" xfId="1" applyNumberFormat="1" applyFont="1" applyFill="1" applyBorder="1" applyProtection="1"/>
    <xf numFmtId="0" fontId="4" fillId="0" borderId="0" xfId="0" applyFont="1" applyAlignment="1" applyProtection="1">
      <alignment horizontal="right"/>
    </xf>
    <xf numFmtId="0" fontId="4" fillId="0" borderId="0" xfId="0" applyFont="1" applyAlignment="1" applyProtection="1">
      <alignment horizontal="right" vertical="top"/>
    </xf>
    <xf numFmtId="0" fontId="3" fillId="3" borderId="2" xfId="0" applyFont="1" applyFill="1" applyBorder="1" applyAlignment="1" applyProtection="1">
      <alignment horizontal="right"/>
    </xf>
    <xf numFmtId="42" fontId="0" fillId="0" borderId="0" xfId="0" applyNumberFormat="1"/>
    <xf numFmtId="165" fontId="4" fillId="0" borderId="0" xfId="1" applyNumberFormat="1" applyFont="1" applyProtection="1"/>
    <xf numFmtId="0" fontId="0" fillId="0" borderId="0" xfId="0" applyFill="1" applyBorder="1"/>
    <xf numFmtId="0" fontId="0" fillId="0" borderId="0" xfId="0" applyFill="1"/>
    <xf numFmtId="0" fontId="4" fillId="0" borderId="0" xfId="0" applyFont="1" applyFill="1"/>
    <xf numFmtId="164" fontId="4" fillId="0" borderId="0" xfId="1" applyNumberFormat="1" applyFont="1" applyFill="1" applyProtection="1"/>
    <xf numFmtId="0" fontId="4" fillId="0" borderId="0" xfId="0" applyFont="1" applyFill="1" applyAlignment="1">
      <alignment horizontal="center"/>
    </xf>
    <xf numFmtId="0" fontId="8" fillId="0" borderId="0" xfId="0" applyFont="1" applyAlignment="1">
      <alignment horizontal="right"/>
    </xf>
    <xf numFmtId="9" fontId="0" fillId="0" borderId="0" xfId="3" applyFont="1"/>
    <xf numFmtId="165" fontId="4" fillId="0" borderId="0" xfId="1" applyNumberFormat="1" applyFont="1" applyAlignment="1" applyProtection="1">
      <alignment vertical="top"/>
    </xf>
    <xf numFmtId="165" fontId="4" fillId="0" borderId="1" xfId="1" applyNumberFormat="1" applyFont="1" applyBorder="1" applyProtection="1"/>
    <xf numFmtId="165" fontId="3" fillId="3" borderId="2" xfId="1" applyNumberFormat="1" applyFont="1" applyFill="1" applyBorder="1" applyProtection="1"/>
    <xf numFmtId="0" fontId="4" fillId="0" borderId="0" xfId="0" applyFont="1" applyBorder="1" applyAlignment="1" applyProtection="1">
      <alignment horizontal="right"/>
    </xf>
    <xf numFmtId="165" fontId="4" fillId="0" borderId="0" xfId="1" applyNumberFormat="1" applyFont="1" applyBorder="1" applyProtection="1"/>
    <xf numFmtId="0" fontId="4" fillId="0" borderId="1" xfId="0" applyFont="1" applyBorder="1" applyAlignment="1" applyProtection="1">
      <alignment horizontal="right"/>
    </xf>
    <xf numFmtId="0" fontId="4" fillId="0" borderId="0" xfId="0" applyFont="1" applyFill="1" applyProtection="1"/>
    <xf numFmtId="0" fontId="4" fillId="0" borderId="0" xfId="0" applyFont="1" applyFill="1" applyBorder="1" applyAlignment="1" applyProtection="1">
      <alignment horizontal="right"/>
    </xf>
    <xf numFmtId="165" fontId="4" fillId="0" borderId="0" xfId="1" applyNumberFormat="1" applyFont="1" applyFill="1" applyBorder="1" applyProtection="1"/>
    <xf numFmtId="165" fontId="3" fillId="0" borderId="3" xfId="1" applyNumberFormat="1" applyFont="1" applyBorder="1" applyProtection="1"/>
    <xf numFmtId="165" fontId="3" fillId="3" borderId="2" xfId="1" applyNumberFormat="1" applyFont="1" applyFill="1" applyBorder="1" applyAlignment="1" applyProtection="1">
      <alignment vertical="top"/>
    </xf>
    <xf numFmtId="0" fontId="3" fillId="3" borderId="2" xfId="0" applyFont="1" applyFill="1" applyBorder="1" applyAlignment="1" applyProtection="1">
      <alignment horizontal="right" vertical="top"/>
    </xf>
    <xf numFmtId="0" fontId="4" fillId="3" borderId="2" xfId="0" applyFont="1" applyFill="1" applyBorder="1" applyAlignment="1" applyProtection="1">
      <alignment horizontal="right"/>
    </xf>
    <xf numFmtId="42" fontId="4" fillId="3" borderId="2" xfId="1" applyNumberFormat="1" applyFont="1" applyFill="1" applyBorder="1" applyProtection="1"/>
    <xf numFmtId="165" fontId="4" fillId="0" borderId="0" xfId="1" applyNumberFormat="1" applyFont="1" applyAlignment="1" applyProtection="1">
      <alignment horizontal="center"/>
    </xf>
    <xf numFmtId="165" fontId="4" fillId="3" borderId="2" xfId="1" applyNumberFormat="1" applyFont="1" applyFill="1" applyBorder="1" applyProtection="1"/>
    <xf numFmtId="165" fontId="4" fillId="0" borderId="0" xfId="1" applyNumberFormat="1" applyFont="1"/>
    <xf numFmtId="165" fontId="5" fillId="3" borderId="2" xfId="1" applyNumberFormat="1" applyFont="1" applyFill="1" applyBorder="1" applyProtection="1"/>
    <xf numFmtId="165" fontId="3" fillId="0" borderId="0" xfId="1" applyNumberFormat="1" applyFont="1" applyBorder="1" applyProtection="1"/>
    <xf numFmtId="42" fontId="4" fillId="0" borderId="1" xfId="1" applyNumberFormat="1" applyFont="1" applyBorder="1" applyProtection="1"/>
    <xf numFmtId="42" fontId="3" fillId="0" borderId="0" xfId="1" applyNumberFormat="1" applyFont="1" applyBorder="1" applyProtection="1"/>
    <xf numFmtId="0" fontId="9" fillId="0" borderId="0" xfId="0" applyFont="1"/>
    <xf numFmtId="0" fontId="6" fillId="0" borderId="0" xfId="0" applyFont="1" applyAlignment="1">
      <alignment horizontal="left"/>
    </xf>
    <xf numFmtId="0" fontId="6" fillId="0" borderId="0" xfId="0" applyFont="1"/>
    <xf numFmtId="0" fontId="6" fillId="0" borderId="0" xfId="0" applyFont="1" applyAlignment="1">
      <alignment horizontal="left" indent="1"/>
    </xf>
    <xf numFmtId="0" fontId="6" fillId="0" borderId="0" xfId="0" applyFont="1" applyAlignment="1">
      <alignment horizontal="right" indent="1"/>
    </xf>
    <xf numFmtId="0" fontId="4" fillId="0" borderId="2" xfId="0" applyFont="1" applyBorder="1" applyAlignment="1">
      <alignment horizontal="center"/>
    </xf>
    <xf numFmtId="165" fontId="4" fillId="3" borderId="2" xfId="1" applyNumberFormat="1" applyFont="1" applyFill="1" applyBorder="1"/>
    <xf numFmtId="10" fontId="4" fillId="0" borderId="2" xfId="0" applyNumberFormat="1" applyFont="1" applyBorder="1" applyAlignment="1">
      <alignment horizontal="center"/>
    </xf>
    <xf numFmtId="10" fontId="4" fillId="0" borderId="2" xfId="3" applyNumberFormat="1" applyFont="1" applyFill="1" applyBorder="1" applyAlignment="1">
      <alignment horizontal="center"/>
    </xf>
    <xf numFmtId="164" fontId="4" fillId="0" borderId="0" xfId="1" applyNumberFormat="1" applyFont="1" applyBorder="1" applyProtection="1"/>
    <xf numFmtId="0" fontId="4" fillId="0" borderId="0" xfId="0" applyFont="1" applyBorder="1"/>
    <xf numFmtId="0" fontId="4" fillId="0" borderId="0" xfId="0" applyFont="1" applyAlignment="1">
      <alignment vertical="center" wrapText="1"/>
    </xf>
    <xf numFmtId="0" fontId="4" fillId="0" borderId="0" xfId="0" applyFont="1" applyAlignment="1" applyProtection="1">
      <alignment vertical="center" wrapText="1"/>
    </xf>
    <xf numFmtId="0" fontId="4" fillId="3" borderId="2" xfId="0" applyFont="1" applyFill="1" applyBorder="1" applyAlignment="1">
      <alignment horizontal="center" wrapText="1"/>
    </xf>
    <xf numFmtId="165" fontId="5" fillId="3" borderId="2" xfId="1" applyNumberFormat="1" applyFont="1" applyFill="1" applyBorder="1"/>
    <xf numFmtId="0" fontId="2" fillId="3" borderId="2" xfId="0" applyFont="1" applyFill="1" applyBorder="1" applyAlignment="1"/>
    <xf numFmtId="44" fontId="2" fillId="3" borderId="2" xfId="1" applyFont="1" applyFill="1" applyBorder="1" applyAlignment="1"/>
    <xf numFmtId="44" fontId="3" fillId="3" borderId="2" xfId="1" applyNumberFormat="1" applyFont="1" applyFill="1" applyBorder="1" applyProtection="1"/>
    <xf numFmtId="0" fontId="4" fillId="4" borderId="0" xfId="0" applyFont="1" applyFill="1" applyProtection="1"/>
    <xf numFmtId="166" fontId="5" fillId="3" borderId="2" xfId="1" applyNumberFormat="1" applyFont="1" applyFill="1" applyBorder="1"/>
    <xf numFmtId="44" fontId="4" fillId="3" borderId="2" xfId="1" applyNumberFormat="1" applyFont="1" applyFill="1" applyBorder="1" applyProtection="1"/>
    <xf numFmtId="9" fontId="0" fillId="0" borderId="0" xfId="3" applyFont="1" applyFill="1"/>
    <xf numFmtId="0" fontId="10" fillId="0" borderId="0" xfId="0" applyFont="1"/>
    <xf numFmtId="0" fontId="11" fillId="0" borderId="0" xfId="0" applyFont="1"/>
    <xf numFmtId="0" fontId="9" fillId="0" borderId="0" xfId="0" applyFont="1" applyAlignment="1">
      <alignment horizontal="left" indent="1"/>
    </xf>
    <xf numFmtId="0" fontId="12" fillId="0" borderId="0" xfId="0" applyFont="1" applyAlignment="1" applyProtection="1">
      <alignment horizontal="justify" vertical="justify" wrapText="1"/>
    </xf>
    <xf numFmtId="0" fontId="3" fillId="4" borderId="2" xfId="0" applyFont="1" applyFill="1" applyBorder="1" applyAlignment="1" applyProtection="1">
      <alignment horizontal="center" vertical="center" wrapText="1"/>
    </xf>
    <xf numFmtId="44" fontId="5" fillId="4" borderId="2" xfId="1" applyFont="1" applyFill="1" applyBorder="1" applyProtection="1">
      <protection locked="0"/>
    </xf>
    <xf numFmtId="0" fontId="5" fillId="4" borderId="2" xfId="0" applyFont="1" applyFill="1" applyBorder="1" applyAlignment="1" applyProtection="1">
      <alignment horizontal="center"/>
      <protection locked="0"/>
    </xf>
    <xf numFmtId="9" fontId="5" fillId="4" borderId="2" xfId="3" applyFont="1" applyFill="1" applyBorder="1" applyAlignment="1" applyProtection="1">
      <alignment horizontal="center"/>
      <protection locked="0"/>
    </xf>
    <xf numFmtId="167" fontId="5" fillId="4" borderId="2" xfId="3" applyNumberFormat="1" applyFont="1" applyFill="1" applyBorder="1" applyAlignment="1" applyProtection="1">
      <alignment horizontal="center"/>
      <protection locked="0"/>
    </xf>
    <xf numFmtId="165" fontId="6" fillId="0" borderId="0" xfId="1" applyNumberFormat="1" applyFont="1" applyProtection="1"/>
    <xf numFmtId="0" fontId="4" fillId="0" borderId="0" xfId="0" applyFont="1" applyProtection="1">
      <protection locked="0"/>
    </xf>
    <xf numFmtId="0" fontId="9" fillId="0" borderId="0" xfId="0" applyFont="1" applyAlignment="1" applyProtection="1">
      <alignment horizontal="left"/>
      <protection locked="0"/>
    </xf>
  </cellXfs>
  <cellStyles count="4">
    <cellStyle name="Comma" xfId="2" builtinId="3"/>
    <cellStyle name="Currency" xfId="1" builtinId="4"/>
    <cellStyle name="Normal" xfId="0" builtinId="0"/>
    <cellStyle name="Percent" xfId="3" builtinId="5"/>
  </cellStyles>
  <dxfs count="3">
    <dxf>
      <font>
        <b/>
        <i val="0"/>
        <color rgb="FF61BC47"/>
      </font>
    </dxf>
    <dxf>
      <fill>
        <patternFill>
          <bgColor rgb="FFBDE3B3"/>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61BC47"/>
      <color rgb="FFBDE3B3"/>
      <color rgb="FF9DD68E"/>
      <color rgb="FFC0E498"/>
      <color rgb="FFB0DD7F"/>
      <color rgb="FFD8F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Q$12" lockText="1" noThreeD="1"/>
</file>

<file path=xl/ctrlProps/ctrlProp2.xml><?xml version="1.0" encoding="utf-8"?>
<formControlPr xmlns="http://schemas.microsoft.com/office/spreadsheetml/2009/9/main" objectType="CheckBox" fmlaLink="$Q$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11</xdr:row>
          <xdr:rowOff>7620</xdr:rowOff>
        </xdr:from>
        <xdr:to>
          <xdr:col>2</xdr:col>
          <xdr:colOff>472440</xdr:colOff>
          <xdr:row>11</xdr:row>
          <xdr:rowOff>190500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0</xdr:rowOff>
        </xdr:from>
        <xdr:to>
          <xdr:col>2</xdr:col>
          <xdr:colOff>464820</xdr:colOff>
          <xdr:row>13</xdr:row>
          <xdr:rowOff>182880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440266</xdr:colOff>
      <xdr:row>0</xdr:row>
      <xdr:rowOff>50798</xdr:rowOff>
    </xdr:from>
    <xdr:to>
      <xdr:col>12</xdr:col>
      <xdr:colOff>169333</xdr:colOff>
      <xdr:row>1</xdr:row>
      <xdr:rowOff>855131</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649" b="8213"/>
        <a:stretch/>
      </xdr:blipFill>
      <xdr:spPr>
        <a:xfrm>
          <a:off x="440266" y="50798"/>
          <a:ext cx="7052734" cy="1769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5"/>
  <sheetViews>
    <sheetView showGridLines="0" showRowColHeaders="0" tabSelected="1" zoomScale="90" zoomScaleNormal="90" workbookViewId="0">
      <pane ySplit="3" topLeftCell="A4" activePane="bottomLeft" state="frozen"/>
      <selection pane="bottomLeft" activeCell="E8" sqref="E8:G8"/>
    </sheetView>
  </sheetViews>
  <sheetFormatPr defaultColWidth="0" defaultRowHeight="15.6" x14ac:dyDescent="0.35"/>
  <cols>
    <col min="1" max="1" width="11.5546875" style="7" customWidth="1"/>
    <col min="2" max="2" width="8.88671875" style="7" customWidth="1"/>
    <col min="3" max="10" width="7.88671875" style="7" customWidth="1"/>
    <col min="11" max="11" width="8.88671875" style="7" customWidth="1"/>
    <col min="12" max="15" width="14.21875" style="7" customWidth="1"/>
    <col min="16" max="16" width="0" style="7" hidden="1" customWidth="1"/>
    <col min="17" max="17" width="12.77734375" style="7" hidden="1" customWidth="1"/>
    <col min="18" max="18" width="8.88671875" style="7" hidden="1" customWidth="1"/>
    <col min="19" max="16384" width="8.88671875" style="7" hidden="1"/>
  </cols>
  <sheetData>
    <row r="1" spans="2:17" ht="76.2" customHeight="1" x14ac:dyDescent="0.35"/>
    <row r="2" spans="2:17" ht="76.2" customHeight="1" x14ac:dyDescent="0.35"/>
    <row r="3" spans="2:17" hidden="1" x14ac:dyDescent="0.35"/>
    <row r="5" spans="2:17" ht="16.8" x14ac:dyDescent="0.35">
      <c r="D5" s="73" t="s">
        <v>0</v>
      </c>
      <c r="E5" s="96">
        <v>99999</v>
      </c>
      <c r="F5" s="96"/>
      <c r="G5" s="96"/>
    </row>
    <row r="6" spans="2:17" ht="16.8" x14ac:dyDescent="0.35">
      <c r="D6" s="73" t="s">
        <v>1</v>
      </c>
      <c r="E6" s="97">
        <v>83</v>
      </c>
      <c r="F6" s="97"/>
      <c r="G6" s="97"/>
      <c r="H6" s="93" t="str">
        <f>IF(AND(term&gt;=84,value&lt;=100000),"System Cash Price ex-GST need to be more then $100,000","Min term = 24 months, term &gt; 84 months must be &gt;$100,000")</f>
        <v>Min term = 24 months, term &gt; 84 months must be &gt;$100,000</v>
      </c>
    </row>
    <row r="7" spans="2:17" ht="16.8" x14ac:dyDescent="0.35">
      <c r="D7" s="73" t="s">
        <v>2</v>
      </c>
      <c r="E7" s="98">
        <v>0.05</v>
      </c>
      <c r="F7" s="98"/>
      <c r="G7" s="98"/>
      <c r="H7" s="72" t="s">
        <v>126</v>
      </c>
    </row>
    <row r="8" spans="2:17" ht="16.8" x14ac:dyDescent="0.35">
      <c r="D8" s="73" t="s">
        <v>3</v>
      </c>
      <c r="E8" s="99">
        <v>0.3</v>
      </c>
      <c r="F8" s="99"/>
      <c r="G8" s="99"/>
      <c r="H8" s="72" t="s">
        <v>127</v>
      </c>
    </row>
    <row r="9" spans="2:17" customFormat="1" ht="14.4" x14ac:dyDescent="0.3"/>
    <row r="10" spans="2:17" x14ac:dyDescent="0.35">
      <c r="B10" s="71" t="s">
        <v>128</v>
      </c>
      <c r="Q10" s="69"/>
    </row>
    <row r="11" spans="2:17" x14ac:dyDescent="0.35">
      <c r="B11" s="91"/>
      <c r="Q11" s="69"/>
    </row>
    <row r="12" spans="2:17" x14ac:dyDescent="0.35">
      <c r="B12" s="46"/>
      <c r="C12" s="101"/>
      <c r="D12" s="70" t="s">
        <v>80</v>
      </c>
      <c r="Q12" s="102" t="b">
        <v>0</v>
      </c>
    </row>
    <row r="13" spans="2:17" ht="6.6" customHeight="1" x14ac:dyDescent="0.35">
      <c r="B13" s="46"/>
      <c r="D13" s="71"/>
    </row>
    <row r="14" spans="2:17" x14ac:dyDescent="0.35">
      <c r="B14" s="46"/>
      <c r="C14" s="101"/>
      <c r="D14" s="71" t="s">
        <v>81</v>
      </c>
      <c r="Q14" s="102" t="b">
        <v>0</v>
      </c>
    </row>
    <row r="15" spans="2:17" x14ac:dyDescent="0.35">
      <c r="D15" s="71"/>
    </row>
    <row r="16" spans="2:17" x14ac:dyDescent="0.35">
      <c r="C16" s="9" t="s">
        <v>116</v>
      </c>
    </row>
    <row r="18" spans="1:18" s="80" customFormat="1" ht="36.6" customHeight="1" x14ac:dyDescent="0.3">
      <c r="B18" s="81"/>
      <c r="C18" s="95" t="s">
        <v>4</v>
      </c>
      <c r="D18" s="95"/>
      <c r="E18" s="95" t="s">
        <v>5</v>
      </c>
      <c r="F18" s="95"/>
      <c r="G18" s="95" t="s">
        <v>6</v>
      </c>
      <c r="H18" s="95"/>
      <c r="I18" s="95" t="s">
        <v>7</v>
      </c>
      <c r="J18" s="95"/>
      <c r="Q18" s="80">
        <f>term/12</f>
        <v>6.916666666666667</v>
      </c>
    </row>
    <row r="19" spans="1:18" x14ac:dyDescent="0.35">
      <c r="A19" s="92">
        <f>COUNT(I20:J$28)</f>
        <v>5</v>
      </c>
      <c r="B19" s="87" t="str">
        <f>IF(Q19&lt;=Q$18,R19,"")</f>
        <v>EOFY1</v>
      </c>
      <c r="C19" s="100">
        <f t="shared" ref="C19:C28" si="0">IFERROR(VLOOKUP($B19,EOFTable,4,FALSE),"")</f>
        <v>13672.893302250672</v>
      </c>
      <c r="D19" s="100"/>
      <c r="E19" s="100">
        <f t="shared" ref="E19:E28" si="1">IFERROR(VLOOKUP($B19,EOFTable,12,FALSE),"")</f>
        <v>8938.9744895483673</v>
      </c>
      <c r="F19" s="100"/>
      <c r="G19" s="100">
        <f t="shared" ref="G19:G28" si="2">IFERROR(VLOOKUP($B19,EOFTable,20,FALSE),"")</f>
        <v>6816.2297433256581</v>
      </c>
      <c r="H19" s="100"/>
      <c r="I19" s="100">
        <f t="shared" ref="I19:I28" si="3">IFERROR(VLOOKUP($B19,EOFTable,28,FALSE),"")</f>
        <v>98635.377272727274</v>
      </c>
      <c r="J19" s="100"/>
      <c r="K19" s="72" t="str">
        <f>IF(AND(A18=1,A19=0),"Total cost of ownership, after tax, for life of finance agreement.","")</f>
        <v/>
      </c>
      <c r="Q19" s="7">
        <v>1</v>
      </c>
      <c r="R19" s="7" t="s">
        <v>118</v>
      </c>
    </row>
    <row r="20" spans="1:18" x14ac:dyDescent="0.35">
      <c r="A20" s="92">
        <f>COUNT(I21:J$28)</f>
        <v>4</v>
      </c>
      <c r="B20" s="18" t="str">
        <f t="shared" ref="B20:B28" si="4">IF(Q20&lt;=Q$18,R20,"")</f>
        <v>EOFY2</v>
      </c>
      <c r="C20" s="100">
        <f t="shared" si="0"/>
        <v>27345.786604501347</v>
      </c>
      <c r="D20" s="100"/>
      <c r="E20" s="100">
        <f t="shared" si="1"/>
        <v>28177.355394684473</v>
      </c>
      <c r="F20" s="100"/>
      <c r="G20" s="100">
        <f t="shared" si="2"/>
        <v>23851.79196731931</v>
      </c>
      <c r="H20" s="100"/>
      <c r="I20" s="100">
        <f t="shared" si="3"/>
        <v>97271.754545454547</v>
      </c>
      <c r="J20" s="100"/>
      <c r="K20" s="72" t="str">
        <f t="shared" ref="K20:K28" si="5">IF(AND(A19=1,A20=0),"Total cost of ownership, after tax, for life of finance agreement.","")</f>
        <v/>
      </c>
      <c r="Q20" s="7">
        <v>2</v>
      </c>
      <c r="R20" s="7" t="s">
        <v>83</v>
      </c>
    </row>
    <row r="21" spans="1:18" x14ac:dyDescent="0.35">
      <c r="A21" s="92">
        <f>COUNT(I22:J$28)</f>
        <v>3</v>
      </c>
      <c r="B21" s="18" t="str">
        <f t="shared" si="4"/>
        <v>EOFY3</v>
      </c>
      <c r="C21" s="100">
        <f t="shared" si="0"/>
        <v>41018.679906752011</v>
      </c>
      <c r="D21" s="100"/>
      <c r="E21" s="100">
        <f t="shared" si="1"/>
        <v>47742.364322928988</v>
      </c>
      <c r="F21" s="100"/>
      <c r="G21" s="100">
        <f t="shared" si="2"/>
        <v>41120.089085369749</v>
      </c>
      <c r="H21" s="100"/>
      <c r="I21" s="100">
        <f t="shared" si="3"/>
        <v>95908.131818181821</v>
      </c>
      <c r="J21" s="100"/>
      <c r="K21" s="72" t="str">
        <f t="shared" si="5"/>
        <v/>
      </c>
      <c r="Q21" s="7">
        <v>3</v>
      </c>
      <c r="R21" s="7" t="s">
        <v>84</v>
      </c>
    </row>
    <row r="22" spans="1:18" x14ac:dyDescent="0.35">
      <c r="A22" s="92">
        <f>COUNT(I23:J$28)</f>
        <v>2</v>
      </c>
      <c r="B22" s="18" t="str">
        <f t="shared" si="4"/>
        <v>EOFY4</v>
      </c>
      <c r="C22" s="100">
        <f t="shared" si="0"/>
        <v>54691.57320900268</v>
      </c>
      <c r="D22" s="100"/>
      <c r="E22" s="100">
        <f t="shared" si="1"/>
        <v>67663.578861228147</v>
      </c>
      <c r="F22" s="100"/>
      <c r="G22" s="100">
        <f t="shared" si="2"/>
        <v>58635.229928408997</v>
      </c>
      <c r="H22" s="100"/>
      <c r="I22" s="100">
        <f t="shared" si="3"/>
        <v>94544.509090909094</v>
      </c>
      <c r="J22" s="100"/>
      <c r="K22" s="72" t="str">
        <f t="shared" si="5"/>
        <v/>
      </c>
      <c r="Q22" s="7">
        <v>4</v>
      </c>
      <c r="R22" s="7" t="s">
        <v>85</v>
      </c>
    </row>
    <row r="23" spans="1:18" x14ac:dyDescent="0.35">
      <c r="A23" s="92">
        <f>COUNT(I24:J$28)</f>
        <v>1</v>
      </c>
      <c r="B23" s="18" t="str">
        <f t="shared" si="4"/>
        <v>EOFY5</v>
      </c>
      <c r="C23" s="100">
        <f t="shared" si="0"/>
        <v>68364.466511253355</v>
      </c>
      <c r="D23" s="100"/>
      <c r="E23" s="100">
        <f t="shared" si="1"/>
        <v>87973.254975563876</v>
      </c>
      <c r="F23" s="100"/>
      <c r="G23" s="100">
        <f t="shared" si="2"/>
        <v>76412.178631474118</v>
      </c>
      <c r="H23" s="100"/>
      <c r="I23" s="100">
        <f t="shared" si="3"/>
        <v>93180.886363636368</v>
      </c>
      <c r="J23" s="100"/>
      <c r="K23" s="72" t="str">
        <f t="shared" si="5"/>
        <v/>
      </c>
      <c r="Q23" s="7">
        <v>5</v>
      </c>
      <c r="R23" s="7" t="s">
        <v>119</v>
      </c>
    </row>
    <row r="24" spans="1:18" x14ac:dyDescent="0.35">
      <c r="A24" s="92">
        <f>COUNT(I25:J$28)</f>
        <v>0</v>
      </c>
      <c r="B24" s="18" t="str">
        <f t="shared" si="4"/>
        <v>EOFY6</v>
      </c>
      <c r="C24" s="100">
        <f t="shared" si="0"/>
        <v>82037.359813504023</v>
      </c>
      <c r="D24" s="100"/>
      <c r="E24" s="100">
        <f t="shared" si="1"/>
        <v>108706.56954981512</v>
      </c>
      <c r="F24" s="100"/>
      <c r="G24" s="100">
        <f t="shared" si="2"/>
        <v>94466.806483865119</v>
      </c>
      <c r="H24" s="100"/>
      <c r="I24" s="100">
        <f t="shared" si="3"/>
        <v>91817.263636363641</v>
      </c>
      <c r="J24" s="100"/>
      <c r="K24" s="72" t="str">
        <f t="shared" si="5"/>
        <v>Total cost of ownership, after tax, for life of finance agreement.</v>
      </c>
      <c r="Q24" s="7">
        <v>6</v>
      </c>
      <c r="R24" s="7" t="s">
        <v>120</v>
      </c>
    </row>
    <row r="25" spans="1:18" x14ac:dyDescent="0.35">
      <c r="A25" s="92">
        <f>COUNT(I26:J$28)</f>
        <v>0</v>
      </c>
      <c r="B25" s="18" t="str">
        <f t="shared" si="4"/>
        <v/>
      </c>
      <c r="C25" s="100" t="str">
        <f t="shared" si="0"/>
        <v/>
      </c>
      <c r="D25" s="100"/>
      <c r="E25" s="100" t="str">
        <f t="shared" si="1"/>
        <v/>
      </c>
      <c r="F25" s="100"/>
      <c r="G25" s="100" t="str">
        <f t="shared" si="2"/>
        <v/>
      </c>
      <c r="H25" s="100"/>
      <c r="I25" s="100" t="str">
        <f t="shared" si="3"/>
        <v/>
      </c>
      <c r="J25" s="100"/>
      <c r="K25" s="72" t="str">
        <f t="shared" si="5"/>
        <v/>
      </c>
      <c r="Q25" s="7">
        <v>7</v>
      </c>
      <c r="R25" s="7" t="s">
        <v>121</v>
      </c>
    </row>
    <row r="26" spans="1:18" x14ac:dyDescent="0.35">
      <c r="A26" s="92">
        <f>COUNT(I27:J$28)</f>
        <v>0</v>
      </c>
      <c r="B26" s="18" t="str">
        <f t="shared" si="4"/>
        <v/>
      </c>
      <c r="C26" s="100" t="str">
        <f t="shared" si="0"/>
        <v/>
      </c>
      <c r="D26" s="100"/>
      <c r="E26" s="100" t="str">
        <f t="shared" si="1"/>
        <v/>
      </c>
      <c r="F26" s="100"/>
      <c r="G26" s="100" t="str">
        <f t="shared" si="2"/>
        <v/>
      </c>
      <c r="H26" s="100"/>
      <c r="I26" s="100" t="str">
        <f t="shared" si="3"/>
        <v/>
      </c>
      <c r="J26" s="100"/>
      <c r="K26" s="72" t="str">
        <f t="shared" si="5"/>
        <v/>
      </c>
      <c r="Q26" s="7">
        <v>8</v>
      </c>
      <c r="R26" s="7" t="s">
        <v>122</v>
      </c>
    </row>
    <row r="27" spans="1:18" x14ac:dyDescent="0.35">
      <c r="A27" s="92">
        <f>COUNT(I28:J$28)</f>
        <v>0</v>
      </c>
      <c r="B27" s="18" t="str">
        <f t="shared" si="4"/>
        <v/>
      </c>
      <c r="C27" s="100" t="str">
        <f t="shared" si="0"/>
        <v/>
      </c>
      <c r="D27" s="100"/>
      <c r="E27" s="100" t="str">
        <f t="shared" si="1"/>
        <v/>
      </c>
      <c r="F27" s="100"/>
      <c r="G27" s="100" t="str">
        <f t="shared" si="2"/>
        <v/>
      </c>
      <c r="H27" s="100"/>
      <c r="I27" s="100" t="str">
        <f t="shared" si="3"/>
        <v/>
      </c>
      <c r="J27" s="100"/>
      <c r="K27" s="72" t="str">
        <f t="shared" si="5"/>
        <v/>
      </c>
      <c r="Q27" s="7">
        <v>9</v>
      </c>
      <c r="R27" s="7" t="s">
        <v>123</v>
      </c>
    </row>
    <row r="28" spans="1:18" x14ac:dyDescent="0.35">
      <c r="A28" s="92">
        <f>COUNT(I$28:J29)</f>
        <v>0</v>
      </c>
      <c r="B28" s="18" t="str">
        <f t="shared" si="4"/>
        <v/>
      </c>
      <c r="C28" s="100" t="str">
        <f t="shared" si="0"/>
        <v/>
      </c>
      <c r="D28" s="100"/>
      <c r="E28" s="100" t="str">
        <f t="shared" si="1"/>
        <v/>
      </c>
      <c r="F28" s="100"/>
      <c r="G28" s="100" t="str">
        <f t="shared" si="2"/>
        <v/>
      </c>
      <c r="H28" s="100"/>
      <c r="I28" s="100" t="str">
        <f t="shared" si="3"/>
        <v/>
      </c>
      <c r="J28" s="100"/>
      <c r="K28" s="72" t="str">
        <f t="shared" si="5"/>
        <v/>
      </c>
      <c r="Q28" s="7">
        <v>10</v>
      </c>
      <c r="R28" s="7" t="s">
        <v>124</v>
      </c>
    </row>
    <row r="29" spans="1:18" x14ac:dyDescent="0.35">
      <c r="B29" s="18"/>
      <c r="C29" s="18"/>
      <c r="D29" s="18"/>
      <c r="E29" s="18"/>
      <c r="F29" s="18"/>
      <c r="G29" s="18"/>
      <c r="H29" s="18"/>
      <c r="I29" s="18"/>
      <c r="J29" s="18"/>
      <c r="K29" s="72"/>
    </row>
    <row r="30" spans="1:18" x14ac:dyDescent="0.35">
      <c r="B30" s="18"/>
      <c r="C30" s="18"/>
      <c r="D30" s="18"/>
      <c r="E30" s="18"/>
      <c r="F30" s="18"/>
      <c r="G30" s="18"/>
      <c r="H30" s="18"/>
      <c r="I30" s="18"/>
      <c r="J30" s="18"/>
      <c r="K30" s="72"/>
    </row>
    <row r="31" spans="1:18" ht="18" customHeight="1" x14ac:dyDescent="0.35">
      <c r="B31" s="94" t="s">
        <v>129</v>
      </c>
      <c r="C31" s="94"/>
      <c r="D31" s="94"/>
      <c r="E31" s="94"/>
      <c r="F31" s="94"/>
      <c r="G31" s="94"/>
      <c r="H31" s="94"/>
      <c r="I31" s="94"/>
      <c r="J31" s="94"/>
      <c r="K31" s="94"/>
      <c r="L31" s="94"/>
      <c r="M31" s="94"/>
      <c r="N31" s="94"/>
      <c r="O31" s="94"/>
    </row>
    <row r="32" spans="1:18" x14ac:dyDescent="0.35">
      <c r="B32" s="94"/>
      <c r="C32" s="94"/>
      <c r="D32" s="94"/>
      <c r="E32" s="94"/>
      <c r="F32" s="94"/>
      <c r="G32" s="94"/>
      <c r="H32" s="94"/>
      <c r="I32" s="94"/>
      <c r="J32" s="94"/>
      <c r="K32" s="94"/>
      <c r="L32" s="94"/>
      <c r="M32" s="94"/>
      <c r="N32" s="94"/>
      <c r="O32" s="94"/>
    </row>
    <row r="33" spans="2:15" x14ac:dyDescent="0.35">
      <c r="B33" s="94"/>
      <c r="C33" s="94"/>
      <c r="D33" s="94"/>
      <c r="E33" s="94"/>
      <c r="F33" s="94"/>
      <c r="G33" s="94"/>
      <c r="H33" s="94"/>
      <c r="I33" s="94"/>
      <c r="J33" s="94"/>
      <c r="K33" s="94"/>
      <c r="L33" s="94"/>
      <c r="M33" s="94"/>
      <c r="N33" s="94"/>
      <c r="O33" s="94"/>
    </row>
    <row r="35" spans="2:15" x14ac:dyDescent="0.35">
      <c r="B35" s="7" t="s">
        <v>130</v>
      </c>
    </row>
  </sheetData>
  <sheetProtection algorithmName="SHA-512" hashValue="BzvTJLimB8vrWMgA58PALB0/7zcL+DcOG3gRdrk1/YOEmzCI+/iMo9w/UCkQ85D0HsvUpERx+F3LYmx0aJOBtA==" saltValue="Kn3sdjTuFNLOJ6/leNT+7A==" spinCount="100000" sheet="1" objects="1" scenarios="1" selectLockedCells="1"/>
  <mergeCells count="49">
    <mergeCell ref="I24:J24"/>
    <mergeCell ref="I25:J25"/>
    <mergeCell ref="I26:J26"/>
    <mergeCell ref="I27:J27"/>
    <mergeCell ref="I28:J28"/>
    <mergeCell ref="I19:J19"/>
    <mergeCell ref="I20:J20"/>
    <mergeCell ref="I21:J21"/>
    <mergeCell ref="I22:J22"/>
    <mergeCell ref="I23:J23"/>
    <mergeCell ref="E27:F27"/>
    <mergeCell ref="E28:F28"/>
    <mergeCell ref="G19:H19"/>
    <mergeCell ref="G20:H20"/>
    <mergeCell ref="G21:H21"/>
    <mergeCell ref="G22:H22"/>
    <mergeCell ref="G23:H23"/>
    <mergeCell ref="G24:H24"/>
    <mergeCell ref="G25:H25"/>
    <mergeCell ref="G26:H26"/>
    <mergeCell ref="G27:H27"/>
    <mergeCell ref="G28:H28"/>
    <mergeCell ref="E22:F22"/>
    <mergeCell ref="E23:F23"/>
    <mergeCell ref="E24:F24"/>
    <mergeCell ref="E25:F25"/>
    <mergeCell ref="E26:F26"/>
    <mergeCell ref="E5:G5"/>
    <mergeCell ref="E6:G6"/>
    <mergeCell ref="E7:G7"/>
    <mergeCell ref="E8:G8"/>
    <mergeCell ref="C19:D19"/>
    <mergeCell ref="E19:F19"/>
    <mergeCell ref="B31:O33"/>
    <mergeCell ref="C18:D18"/>
    <mergeCell ref="E18:F18"/>
    <mergeCell ref="G18:H18"/>
    <mergeCell ref="I18:J18"/>
    <mergeCell ref="C20:D20"/>
    <mergeCell ref="C21:D21"/>
    <mergeCell ref="C22:D22"/>
    <mergeCell ref="C23:D23"/>
    <mergeCell ref="C24:D24"/>
    <mergeCell ref="C25:D25"/>
    <mergeCell ref="C26:D26"/>
    <mergeCell ref="C27:D27"/>
    <mergeCell ref="C28:D28"/>
    <mergeCell ref="E20:F20"/>
    <mergeCell ref="E21:F21"/>
  </mergeCells>
  <conditionalFormatting sqref="B19:J28">
    <cfRule type="notContainsBlanks" dxfId="2" priority="3">
      <formula>LEN(TRIM(B19))&gt;0</formula>
    </cfRule>
  </conditionalFormatting>
  <conditionalFormatting sqref="B19:B28">
    <cfRule type="notContainsBlanks" dxfId="1" priority="6">
      <formula>LEN(TRIM(B19))&gt;0</formula>
    </cfRule>
  </conditionalFormatting>
  <conditionalFormatting sqref="H6">
    <cfRule type="containsText" dxfId="0" priority="1" operator="containsText" text="System Cash Price">
      <formula>NOT(ISERROR(SEARCH("System Cash Price",H6)))</formula>
    </cfRule>
  </conditionalFormatting>
  <dataValidations count="2">
    <dataValidation type="whole" allowBlank="1" showInputMessage="1" showErrorMessage="1" prompt="Insert value from 24-120 month" sqref="E6">
      <formula1>24</formula1>
      <formula2>120</formula2>
    </dataValidation>
    <dataValidation type="decimal" allowBlank="1" showInputMessage="1" showErrorMessage="1" prompt="Insert value from 1-30%" sqref="E8:G9">
      <formula1>0.01</formula1>
      <formula2>0.3</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198120</xdr:colOff>
                    <xdr:row>11</xdr:row>
                    <xdr:rowOff>7620</xdr:rowOff>
                  </from>
                  <to>
                    <xdr:col>2</xdr:col>
                    <xdr:colOff>472440</xdr:colOff>
                    <xdr:row>11</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190500</xdr:colOff>
                    <xdr:row>13</xdr:row>
                    <xdr:rowOff>0</xdr:rowOff>
                  </from>
                  <to>
                    <xdr:col>2</xdr:col>
                    <xdr:colOff>464820</xdr:colOff>
                    <xdr:row>13</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8"/>
  <sheetViews>
    <sheetView showGridLines="0" zoomScale="90" zoomScaleNormal="90" workbookViewId="0">
      <selection activeCell="A7" sqref="A7"/>
    </sheetView>
  </sheetViews>
  <sheetFormatPr defaultRowHeight="15.6" x14ac:dyDescent="0.35"/>
  <cols>
    <col min="1" max="2" width="8.88671875" style="43"/>
    <col min="3" max="3" width="12.6640625" style="43" bestFit="1" customWidth="1"/>
    <col min="4" max="5" width="8.88671875" style="43"/>
    <col min="6" max="6" width="13.6640625" style="43" customWidth="1"/>
    <col min="7" max="7" width="11.77734375" style="43" customWidth="1"/>
    <col min="8" max="16384" width="8.88671875" style="43"/>
  </cols>
  <sheetData>
    <row r="1" spans="1:7" x14ac:dyDescent="0.35">
      <c r="A1" s="7"/>
      <c r="B1" s="7"/>
      <c r="C1" s="7"/>
      <c r="D1" s="7"/>
      <c r="E1" s="7"/>
      <c r="F1" s="7"/>
    </row>
    <row r="2" spans="1:7" x14ac:dyDescent="0.35">
      <c r="A2" s="7"/>
      <c r="B2" s="7"/>
      <c r="C2" s="7"/>
      <c r="D2" s="7"/>
      <c r="E2" s="7"/>
      <c r="F2" s="7"/>
    </row>
    <row r="3" spans="1:7" x14ac:dyDescent="0.35">
      <c r="A3" s="7"/>
      <c r="B3" s="9"/>
      <c r="D3" s="7"/>
      <c r="E3" s="7"/>
      <c r="F3" s="7"/>
    </row>
    <row r="4" spans="1:7" x14ac:dyDescent="0.35">
      <c r="A4" s="7"/>
      <c r="B4" s="17" t="s">
        <v>75</v>
      </c>
      <c r="C4" s="75">
        <f>value</f>
        <v>99999</v>
      </c>
      <c r="D4" s="7"/>
      <c r="E4" s="7"/>
      <c r="F4" s="44"/>
    </row>
    <row r="5" spans="1:7" x14ac:dyDescent="0.35">
      <c r="A5" s="7"/>
      <c r="B5" s="17" t="s">
        <v>125</v>
      </c>
      <c r="C5" s="26">
        <f>term</f>
        <v>83</v>
      </c>
      <c r="D5" s="7" t="s">
        <v>76</v>
      </c>
      <c r="E5" s="7"/>
      <c r="F5" s="26" t="s">
        <v>79</v>
      </c>
      <c r="G5" s="26" t="s">
        <v>12</v>
      </c>
    </row>
    <row r="6" spans="1:7" x14ac:dyDescent="0.35">
      <c r="A6" s="7"/>
      <c r="B6" s="9"/>
      <c r="C6" s="7"/>
      <c r="D6" s="7"/>
      <c r="E6" s="7"/>
      <c r="F6" s="76">
        <f>ChattelPerc</f>
        <v>8.6999999999999994E-2</v>
      </c>
      <c r="G6" s="77">
        <f>BankPerc</f>
        <v>5.8999999999999997E-2</v>
      </c>
    </row>
    <row r="7" spans="1:7" x14ac:dyDescent="0.35">
      <c r="A7" s="7"/>
      <c r="B7" s="9"/>
      <c r="C7" s="7"/>
      <c r="D7" s="7"/>
      <c r="E7" s="7"/>
      <c r="F7" s="7"/>
    </row>
    <row r="8" spans="1:7" x14ac:dyDescent="0.35">
      <c r="A8" s="7"/>
      <c r="B8" s="9"/>
      <c r="C8" s="7"/>
      <c r="D8" s="7" t="s">
        <v>77</v>
      </c>
      <c r="E8" s="7" t="s">
        <v>78</v>
      </c>
    </row>
    <row r="9" spans="1:7" x14ac:dyDescent="0.35">
      <c r="A9" s="7"/>
      <c r="B9" s="9"/>
      <c r="C9" s="74" t="s">
        <v>21</v>
      </c>
      <c r="D9" s="74">
        <v>1</v>
      </c>
      <c r="E9" s="74">
        <v>12</v>
      </c>
      <c r="F9" s="75">
        <f t="shared" ref="F9:G18" si="0">IF(term&gt;=$E9,-CUMIPMT(F$6/12,term,value,$D9,$E9,0),0)</f>
        <v>8267.1740811612835</v>
      </c>
      <c r="G9" s="75">
        <f t="shared" si="0"/>
        <v>5577.1331747170661</v>
      </c>
    </row>
    <row r="10" spans="1:7" x14ac:dyDescent="0.35">
      <c r="A10" s="7"/>
      <c r="B10" s="9"/>
      <c r="C10" s="74" t="s">
        <v>22</v>
      </c>
      <c r="D10" s="74">
        <v>13</v>
      </c>
      <c r="E10" s="74">
        <v>24</v>
      </c>
      <c r="F10" s="75">
        <f t="shared" si="0"/>
        <v>7268.8193625355216</v>
      </c>
      <c r="G10" s="75">
        <f t="shared" si="0"/>
        <v>4845.691572490452</v>
      </c>
    </row>
    <row r="11" spans="1:7" x14ac:dyDescent="0.35">
      <c r="A11" s="7"/>
      <c r="B11" s="9"/>
      <c r="C11" s="74" t="s">
        <v>23</v>
      </c>
      <c r="D11" s="74">
        <f>D10+12</f>
        <v>25</v>
      </c>
      <c r="E11" s="74">
        <f>E10+12</f>
        <v>36</v>
      </c>
      <c r="F11" s="75">
        <f t="shared" si="0"/>
        <v>6180.0592855074956</v>
      </c>
      <c r="G11" s="75">
        <f t="shared" si="0"/>
        <v>4069.9085923011826</v>
      </c>
    </row>
    <row r="12" spans="1:7" x14ac:dyDescent="0.35">
      <c r="A12" s="7"/>
      <c r="B12" s="9"/>
      <c r="C12" s="74" t="s">
        <v>24</v>
      </c>
      <c r="D12" s="74">
        <f t="shared" ref="D12:E13" si="1">D11+12</f>
        <v>37</v>
      </c>
      <c r="E12" s="74">
        <f t="shared" si="1"/>
        <v>48</v>
      </c>
      <c r="F12" s="75">
        <f t="shared" si="0"/>
        <v>4992.7072519920148</v>
      </c>
      <c r="G12" s="75">
        <f t="shared" si="0"/>
        <v>3247.0961756718007</v>
      </c>
    </row>
    <row r="13" spans="1:7" x14ac:dyDescent="0.35">
      <c r="A13" s="7"/>
      <c r="B13" s="9"/>
      <c r="C13" s="74" t="s">
        <v>25</v>
      </c>
      <c r="D13" s="74">
        <f t="shared" si="1"/>
        <v>49</v>
      </c>
      <c r="E13" s="74">
        <f t="shared" si="1"/>
        <v>60</v>
      </c>
      <c r="F13" s="75">
        <f t="shared" si="0"/>
        <v>3697.8353318701193</v>
      </c>
      <c r="G13" s="75">
        <f t="shared" si="0"/>
        <v>2374.4033089188979</v>
      </c>
    </row>
    <row r="14" spans="1:7" x14ac:dyDescent="0.35">
      <c r="B14" s="45"/>
      <c r="C14" s="74" t="s">
        <v>70</v>
      </c>
      <c r="D14" s="74">
        <f t="shared" ref="D14:E14" si="2">D13+12</f>
        <v>61</v>
      </c>
      <c r="E14" s="74">
        <f t="shared" si="2"/>
        <v>72</v>
      </c>
      <c r="F14" s="75">
        <f t="shared" si="0"/>
        <v>2285.707132151736</v>
      </c>
      <c r="G14" s="75">
        <f t="shared" si="0"/>
        <v>1448.8061444992982</v>
      </c>
    </row>
    <row r="15" spans="1:7" x14ac:dyDescent="0.35">
      <c r="B15" s="45"/>
      <c r="C15" s="74" t="s">
        <v>71</v>
      </c>
      <c r="D15" s="74">
        <f t="shared" ref="D15:E15" si="3">D14+12</f>
        <v>73</v>
      </c>
      <c r="E15" s="74">
        <f t="shared" si="3"/>
        <v>84</v>
      </c>
      <c r="F15" s="75">
        <f t="shared" si="0"/>
        <v>0</v>
      </c>
      <c r="G15" s="75">
        <f t="shared" si="0"/>
        <v>0</v>
      </c>
    </row>
    <row r="16" spans="1:7" x14ac:dyDescent="0.35">
      <c r="B16" s="45"/>
      <c r="C16" s="74" t="s">
        <v>72</v>
      </c>
      <c r="D16" s="74">
        <f t="shared" ref="D16:E16" si="4">D15+12</f>
        <v>85</v>
      </c>
      <c r="E16" s="74">
        <f t="shared" si="4"/>
        <v>96</v>
      </c>
      <c r="F16" s="75">
        <f t="shared" si="0"/>
        <v>0</v>
      </c>
      <c r="G16" s="75">
        <f t="shared" si="0"/>
        <v>0</v>
      </c>
    </row>
    <row r="17" spans="2:7" x14ac:dyDescent="0.35">
      <c r="B17" s="45"/>
      <c r="C17" s="74" t="s">
        <v>73</v>
      </c>
      <c r="D17" s="74">
        <f t="shared" ref="D17:E18" si="5">D16+12</f>
        <v>97</v>
      </c>
      <c r="E17" s="74">
        <f t="shared" si="5"/>
        <v>108</v>
      </c>
      <c r="F17" s="75">
        <f t="shared" si="0"/>
        <v>0</v>
      </c>
      <c r="G17" s="75">
        <f t="shared" si="0"/>
        <v>0</v>
      </c>
    </row>
    <row r="18" spans="2:7" x14ac:dyDescent="0.35">
      <c r="C18" s="74" t="s">
        <v>74</v>
      </c>
      <c r="D18" s="74">
        <f t="shared" si="5"/>
        <v>109</v>
      </c>
      <c r="E18" s="74">
        <f t="shared" si="5"/>
        <v>120</v>
      </c>
      <c r="F18" s="75">
        <f t="shared" si="0"/>
        <v>0</v>
      </c>
      <c r="G18" s="75">
        <f t="shared" si="0"/>
        <v>0</v>
      </c>
    </row>
  </sheetData>
  <sheetProtection algorithmName="SHA-512" hashValue="/VS2Tg0UIXtIXbZdfQ96CIfsuGQN12eIlB+tmDRd3XfRtyZEMcf7iXeiODJCjUMKdvHTj5WwaU8U7tXR04O+fw==" saltValue="WNXGsAlT809U61jgRQK/r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46"/>
  <sheetViews>
    <sheetView showGridLines="0" zoomScale="80" zoomScaleNormal="80" workbookViewId="0">
      <pane ySplit="13" topLeftCell="A14" activePane="bottomLeft" state="frozen"/>
      <selection activeCell="A7" sqref="A7"/>
      <selection pane="bottomLeft" activeCell="A7" sqref="A7"/>
    </sheetView>
  </sheetViews>
  <sheetFormatPr defaultRowHeight="15.6" x14ac:dyDescent="0.35"/>
  <cols>
    <col min="1" max="1" width="11.33203125" customWidth="1"/>
    <col min="2" max="2" width="6.77734375" style="7" bestFit="1" customWidth="1"/>
    <col min="3" max="3" width="31.77734375" style="7" customWidth="1"/>
    <col min="4" max="4" width="22.6640625" style="7" customWidth="1"/>
    <col min="5" max="6" width="16.5546875" style="5" customWidth="1"/>
    <col min="7" max="7" width="13.21875" style="9" customWidth="1"/>
    <col min="8" max="9" width="5.33203125" customWidth="1"/>
    <col min="10" max="10" width="6.6640625" bestFit="1" customWidth="1"/>
    <col min="11" max="11" width="31.6640625" customWidth="1"/>
    <col min="12" max="12" width="23.6640625" customWidth="1"/>
    <col min="13" max="13" width="14.33203125" customWidth="1"/>
    <col min="14" max="14" width="16.5546875" customWidth="1"/>
    <col min="15" max="15" width="9.33203125" customWidth="1"/>
    <col min="16" max="17" width="5.21875" customWidth="1"/>
    <col min="18" max="18" width="6.6640625" bestFit="1" customWidth="1"/>
    <col min="19" max="19" width="31.6640625" bestFit="1" customWidth="1"/>
    <col min="20" max="20" width="21" customWidth="1"/>
    <col min="21" max="21" width="14.33203125" customWidth="1"/>
    <col min="22" max="22" width="16.5546875" customWidth="1"/>
    <col min="23" max="23" width="13.109375" customWidth="1"/>
    <col min="27" max="27" width="31.6640625" customWidth="1"/>
    <col min="28" max="28" width="22.6640625" customWidth="1"/>
    <col min="29" max="29" width="14.33203125" customWidth="1"/>
  </cols>
  <sheetData>
    <row r="1" spans="1:31" s="16" customFormat="1" x14ac:dyDescent="0.35">
      <c r="E1" s="14"/>
      <c r="F1" s="14"/>
      <c r="G1" s="15"/>
    </row>
    <row r="2" spans="1:31" s="16" customFormat="1" x14ac:dyDescent="0.35">
      <c r="A2" s="11"/>
      <c r="B2" s="12"/>
      <c r="E2" s="14"/>
      <c r="F2" s="46" t="s">
        <v>82</v>
      </c>
      <c r="G2" s="82" t="b">
        <f>IF(AND(value&lt;=20000,'Data input'!Q12),TRUE,FALSE)</f>
        <v>0</v>
      </c>
    </row>
    <row r="3" spans="1:31" s="16" customFormat="1" x14ac:dyDescent="0.35">
      <c r="A3" s="11"/>
      <c r="B3" s="12"/>
      <c r="E3" s="14"/>
      <c r="F3" s="14"/>
      <c r="G3" s="15"/>
      <c r="N3"/>
    </row>
    <row r="4" spans="1:31" s="16" customFormat="1" x14ac:dyDescent="0.35">
      <c r="A4" s="11"/>
      <c r="B4" s="12"/>
      <c r="C4" s="13"/>
      <c r="D4" s="13"/>
      <c r="E4" s="14"/>
      <c r="F4" s="14"/>
      <c r="G4" s="15"/>
    </row>
    <row r="5" spans="1:31" ht="16.8" x14ac:dyDescent="0.35">
      <c r="C5" s="9" t="s">
        <v>14</v>
      </c>
      <c r="D5" s="83">
        <f>value*1.1</f>
        <v>109998.90000000001</v>
      </c>
      <c r="E5" s="5" t="s">
        <v>66</v>
      </c>
      <c r="F5" s="22">
        <f>D5-D5/1.1</f>
        <v>9999.9000000000087</v>
      </c>
    </row>
    <row r="6" spans="1:31" ht="6" customHeight="1" x14ac:dyDescent="0.3">
      <c r="B6"/>
      <c r="C6" s="1"/>
      <c r="D6"/>
      <c r="E6"/>
      <c r="F6"/>
      <c r="G6" s="1"/>
    </row>
    <row r="7" spans="1:31" ht="16.8" x14ac:dyDescent="0.35">
      <c r="C7" s="9" t="s">
        <v>15</v>
      </c>
      <c r="D7" s="23">
        <f>term</f>
        <v>83</v>
      </c>
      <c r="J7" s="7"/>
      <c r="K7" s="78"/>
      <c r="L7" s="78"/>
      <c r="M7" s="78"/>
      <c r="N7" s="78"/>
      <c r="O7" s="78"/>
      <c r="P7" s="79"/>
      <c r="Q7" s="79"/>
      <c r="R7" s="79"/>
      <c r="S7" s="78"/>
      <c r="T7" s="78"/>
      <c r="U7" s="78"/>
      <c r="V7" s="78"/>
      <c r="W7" s="78"/>
    </row>
    <row r="8" spans="1:31" ht="3" customHeight="1" x14ac:dyDescent="0.35">
      <c r="C8" s="9"/>
    </row>
    <row r="9" spans="1:31" ht="16.8" x14ac:dyDescent="0.35">
      <c r="C9" s="9" t="s">
        <v>62</v>
      </c>
      <c r="D9" s="24">
        <f>'Data input'!E7</f>
        <v>0.05</v>
      </c>
      <c r="F9" s="5" t="s">
        <v>61</v>
      </c>
    </row>
    <row r="10" spans="1:31" ht="6" customHeight="1" x14ac:dyDescent="0.3">
      <c r="B10"/>
      <c r="C10" s="1"/>
      <c r="D10" s="2"/>
      <c r="E10"/>
      <c r="F10"/>
      <c r="G10" s="1"/>
    </row>
    <row r="11" spans="1:31" ht="16.8" x14ac:dyDescent="0.35">
      <c r="C11" s="9" t="s">
        <v>63</v>
      </c>
      <c r="D11" s="25">
        <f>'Data input'!E8</f>
        <v>0.3</v>
      </c>
    </row>
    <row r="12" spans="1:31" ht="14.4" x14ac:dyDescent="0.3">
      <c r="B12"/>
      <c r="C12"/>
      <c r="D12"/>
      <c r="E12"/>
      <c r="F12"/>
      <c r="G12"/>
    </row>
    <row r="13" spans="1:31" ht="20.399999999999999" x14ac:dyDescent="0.45">
      <c r="B13" s="26" t="s">
        <v>16</v>
      </c>
      <c r="C13" s="84" t="s">
        <v>10</v>
      </c>
      <c r="D13" s="85">
        <f>value</f>
        <v>99999</v>
      </c>
      <c r="E13" s="27">
        <v>60</v>
      </c>
      <c r="F13" s="27" t="s">
        <v>8</v>
      </c>
      <c r="G13" s="28" t="s">
        <v>17</v>
      </c>
      <c r="J13" s="26" t="s">
        <v>16</v>
      </c>
      <c r="K13" s="84" t="s">
        <v>5</v>
      </c>
      <c r="L13" s="85">
        <f>Value1</f>
        <v>109998.90000000001</v>
      </c>
      <c r="M13" s="27">
        <v>60</v>
      </c>
      <c r="N13" s="27" t="s">
        <v>8</v>
      </c>
      <c r="O13" s="28" t="s">
        <v>17</v>
      </c>
      <c r="R13" s="26" t="s">
        <v>16</v>
      </c>
      <c r="S13" s="84" t="s">
        <v>12</v>
      </c>
      <c r="T13" s="85">
        <f>Value1</f>
        <v>109998.90000000001</v>
      </c>
      <c r="U13" s="27">
        <v>60</v>
      </c>
      <c r="V13" s="27" t="s">
        <v>8</v>
      </c>
      <c r="W13" s="28" t="s">
        <v>17</v>
      </c>
      <c r="Z13" s="26" t="s">
        <v>16</v>
      </c>
      <c r="AA13" s="84" t="s">
        <v>7</v>
      </c>
      <c r="AB13" s="85">
        <f>Value1</f>
        <v>109998.90000000001</v>
      </c>
      <c r="AC13" s="27">
        <v>60</v>
      </c>
      <c r="AD13" s="27" t="s">
        <v>8</v>
      </c>
      <c r="AE13" s="28" t="s">
        <v>17</v>
      </c>
    </row>
    <row r="14" spans="1:31" x14ac:dyDescent="0.35">
      <c r="B14" s="10">
        <f>IF(AND(D$13&gt;=C14,D$13&lt;D14),1,0)</f>
        <v>0</v>
      </c>
      <c r="C14" s="29">
        <v>5000</v>
      </c>
      <c r="D14" s="29">
        <v>10000</v>
      </c>
      <c r="E14" s="3">
        <v>9.5000000000000001E-2</v>
      </c>
      <c r="F14" s="3">
        <f>E14+0.01</f>
        <v>0.105</v>
      </c>
      <c r="G14" s="30">
        <f>IF(term&lt;=60,B14*E14,B14*F14)</f>
        <v>0</v>
      </c>
      <c r="J14" s="10">
        <f>IF(AND(L$13&gt;=K14,L$13&lt;L14),1,0)</f>
        <v>0</v>
      </c>
      <c r="K14" s="29">
        <v>5000</v>
      </c>
      <c r="L14" s="29">
        <v>20000</v>
      </c>
      <c r="M14" s="3">
        <v>0.114</v>
      </c>
      <c r="N14" s="3">
        <f>M14</f>
        <v>0.114</v>
      </c>
      <c r="O14" s="30">
        <f>IF(term&lt;=60,J14*M14,J14*N14)</f>
        <v>0</v>
      </c>
      <c r="R14" s="10">
        <f>IF(AND(T$13&gt;=S14,T$13&lt;T14),1,0)</f>
        <v>0</v>
      </c>
      <c r="S14" s="29">
        <v>5000</v>
      </c>
      <c r="T14" s="29">
        <v>20000</v>
      </c>
      <c r="U14" s="3">
        <v>8.5000000000000006E-2</v>
      </c>
      <c r="V14" s="3">
        <f>U14+0.005</f>
        <v>9.0000000000000011E-2</v>
      </c>
      <c r="W14" s="30">
        <f>IF(term&lt;=60,R14*U14,R14*V14)</f>
        <v>0</v>
      </c>
      <c r="Z14" s="10">
        <f>IF(AND(value&gt;=AA14,value&lt;AB14),1,0)</f>
        <v>0</v>
      </c>
      <c r="AA14" s="29"/>
      <c r="AB14" s="29"/>
      <c r="AC14" s="3"/>
      <c r="AD14" s="3"/>
      <c r="AE14" s="30">
        <f>IF(term&lt;=60,Z14*AC14,Z14*AD14)</f>
        <v>0</v>
      </c>
    </row>
    <row r="15" spans="1:31" x14ac:dyDescent="0.35">
      <c r="B15" s="10">
        <f t="shared" ref="B15:B18" si="0">IF(AND(D$13&gt;=C15,D$13&lt;D15),1,0)</f>
        <v>0</v>
      </c>
      <c r="C15" s="29">
        <v>10000</v>
      </c>
      <c r="D15" s="29">
        <v>20000</v>
      </c>
      <c r="E15" s="3">
        <v>7.4999999999999997E-2</v>
      </c>
      <c r="F15" s="3">
        <f>E15+0.01</f>
        <v>8.4999999999999992E-2</v>
      </c>
      <c r="G15" s="30">
        <f>IF(term&lt;=60,B15*E15,B15*F15)</f>
        <v>0</v>
      </c>
      <c r="J15" s="10">
        <f t="shared" ref="J15:J17" si="1">IF(AND(L$13&gt;=K15,L$13&lt;L15),1,0)</f>
        <v>0</v>
      </c>
      <c r="K15" s="29">
        <v>20000</v>
      </c>
      <c r="L15" s="29">
        <v>40000</v>
      </c>
      <c r="M15" s="3">
        <v>8.7999999999999995E-2</v>
      </c>
      <c r="N15" s="3">
        <f>M15</f>
        <v>8.7999999999999995E-2</v>
      </c>
      <c r="O15" s="30">
        <f>IF(term&lt;=60,J15*M15,J15*N15)</f>
        <v>0</v>
      </c>
      <c r="R15" s="10">
        <f t="shared" ref="R15:R18" si="2">IF(AND(T$13&gt;=S15,T$13&lt;T15),1,0)</f>
        <v>0</v>
      </c>
      <c r="S15" s="29">
        <v>20000</v>
      </c>
      <c r="T15" s="29">
        <v>40000</v>
      </c>
      <c r="U15" s="3">
        <v>6.5000000000000002E-2</v>
      </c>
      <c r="V15" s="3">
        <f>U15+0.005</f>
        <v>7.0000000000000007E-2</v>
      </c>
      <c r="W15" s="30">
        <f>IF(term&lt;=60,R15*U15,R15*V15)</f>
        <v>0</v>
      </c>
      <c r="Z15" s="10">
        <f>IF(AND(value&gt;=AA15,value&lt;AB15),1,0)</f>
        <v>0</v>
      </c>
      <c r="AA15" s="29"/>
      <c r="AB15" s="29"/>
      <c r="AC15" s="3"/>
      <c r="AD15" s="3"/>
      <c r="AE15" s="30">
        <f>IF(term&lt;=60,Z15*AC15,Z15*AD15)</f>
        <v>0</v>
      </c>
    </row>
    <row r="16" spans="1:31" x14ac:dyDescent="0.35">
      <c r="B16" s="10">
        <f t="shared" si="0"/>
        <v>0</v>
      </c>
      <c r="C16" s="29">
        <v>20000</v>
      </c>
      <c r="D16" s="29">
        <v>35000</v>
      </c>
      <c r="E16" s="3">
        <v>6.7500000000000004E-2</v>
      </c>
      <c r="F16" s="3">
        <f>E16+0.01</f>
        <v>7.7499999999999999E-2</v>
      </c>
      <c r="G16" s="30">
        <f>IF(term&lt;=60,B16*E16,B16*F16)</f>
        <v>0</v>
      </c>
      <c r="J16" s="10">
        <f t="shared" si="1"/>
        <v>1</v>
      </c>
      <c r="K16" s="29">
        <v>40000</v>
      </c>
      <c r="L16" s="29">
        <v>150000</v>
      </c>
      <c r="M16" s="3">
        <v>8.6999999999999994E-2</v>
      </c>
      <c r="N16" s="3">
        <f>M16</f>
        <v>8.6999999999999994E-2</v>
      </c>
      <c r="O16" s="30">
        <f>IF(term&lt;=60,J16*M16,J16*N16)</f>
        <v>8.6999999999999994E-2</v>
      </c>
      <c r="R16" s="10">
        <f t="shared" si="2"/>
        <v>0</v>
      </c>
      <c r="S16" s="29">
        <v>40000</v>
      </c>
      <c r="T16" s="29">
        <v>50000</v>
      </c>
      <c r="U16" s="3">
        <v>0.06</v>
      </c>
      <c r="V16" s="3">
        <f>U16+0.005</f>
        <v>6.5000000000000002E-2</v>
      </c>
      <c r="W16" s="30">
        <f>IF(term&lt;=60,R16*U16,R16*V16)</f>
        <v>0</v>
      </c>
      <c r="Z16" s="10">
        <f>IF(AND(value&gt;=AA16,value&lt;AB16),1,0)</f>
        <v>0</v>
      </c>
      <c r="AA16" s="29"/>
      <c r="AB16" s="29"/>
      <c r="AC16" s="3"/>
      <c r="AD16" s="3"/>
      <c r="AE16" s="30">
        <f>IF(term&lt;=60,Z16*AC16,Z16*AD16)</f>
        <v>0</v>
      </c>
    </row>
    <row r="17" spans="2:31" x14ac:dyDescent="0.35">
      <c r="B17" s="10">
        <f t="shared" si="0"/>
        <v>0</v>
      </c>
      <c r="C17" s="29">
        <v>35000</v>
      </c>
      <c r="D17" s="29">
        <v>60000</v>
      </c>
      <c r="E17" s="3">
        <v>6.4500000000000002E-2</v>
      </c>
      <c r="F17" s="3">
        <f>E17+0.01</f>
        <v>7.4499999999999997E-2</v>
      </c>
      <c r="G17" s="30">
        <f>IF(term&lt;=60,B17*E17,B17*F17)</f>
        <v>0</v>
      </c>
      <c r="J17" s="10">
        <f t="shared" si="1"/>
        <v>0</v>
      </c>
      <c r="K17" s="29">
        <v>150000</v>
      </c>
      <c r="L17" s="29">
        <v>9999999</v>
      </c>
      <c r="M17" s="3">
        <v>0.104</v>
      </c>
      <c r="N17" s="3">
        <f>M17</f>
        <v>0.104</v>
      </c>
      <c r="O17" s="30">
        <f>IF(term&lt;=60,J17*M17,J17*N17)</f>
        <v>0</v>
      </c>
      <c r="R17" s="10">
        <f t="shared" si="2"/>
        <v>0</v>
      </c>
      <c r="S17" s="29">
        <v>50000</v>
      </c>
      <c r="T17" s="29">
        <v>100000</v>
      </c>
      <c r="U17" s="3">
        <v>5.5E-2</v>
      </c>
      <c r="V17" s="3">
        <f>U17+0.005</f>
        <v>0.06</v>
      </c>
      <c r="W17" s="30">
        <f>IF(term&lt;=60,R17*U17,R17*V17)</f>
        <v>0</v>
      </c>
      <c r="Z17" s="10">
        <f>IF(AND(value&gt;=AA17,value&lt;AB17),1,0)</f>
        <v>0</v>
      </c>
      <c r="AA17" s="29"/>
      <c r="AB17" s="29"/>
      <c r="AC17" s="3"/>
      <c r="AD17" s="3"/>
      <c r="AE17" s="30">
        <f>IF(term&lt;=60,Z17*AC17,Z17*AD17)</f>
        <v>0</v>
      </c>
    </row>
    <row r="18" spans="2:31" x14ac:dyDescent="0.35">
      <c r="B18" s="10">
        <f t="shared" si="0"/>
        <v>1</v>
      </c>
      <c r="C18" s="29">
        <v>60000</v>
      </c>
      <c r="D18" s="29">
        <v>9999999</v>
      </c>
      <c r="E18" s="3">
        <v>6.25E-2</v>
      </c>
      <c r="F18" s="3">
        <f>E18+0.01</f>
        <v>7.2499999999999995E-2</v>
      </c>
      <c r="G18" s="30">
        <f>IF(term&lt;=60,B18*E18,B18*F18)</f>
        <v>7.2499999999999995E-2</v>
      </c>
      <c r="J18" s="7"/>
      <c r="K18" s="7"/>
      <c r="L18" s="7"/>
      <c r="M18" s="5"/>
      <c r="R18" s="10">
        <f t="shared" si="2"/>
        <v>1</v>
      </c>
      <c r="S18" s="29">
        <v>100000</v>
      </c>
      <c r="T18" s="29">
        <v>9999999</v>
      </c>
      <c r="U18" s="3">
        <v>5.3999999999999999E-2</v>
      </c>
      <c r="V18" s="3">
        <f>U18+0.005</f>
        <v>5.8999999999999997E-2</v>
      </c>
      <c r="W18" s="30">
        <f>IF(term&lt;=60,R18*U18,R18*V18)</f>
        <v>5.8999999999999997E-2</v>
      </c>
      <c r="Z18" s="10">
        <f>IF(AND(value&gt;=AA18,value&lt;AB18),1,0)</f>
        <v>0</v>
      </c>
      <c r="AA18" s="29"/>
      <c r="AB18" s="29"/>
      <c r="AC18" s="3"/>
      <c r="AD18" s="3"/>
      <c r="AE18" s="30">
        <f>IF(term&lt;=60,Z18*AC18,Z18*AD18)</f>
        <v>0</v>
      </c>
    </row>
    <row r="19" spans="2:31" ht="16.8" x14ac:dyDescent="0.35">
      <c r="C19" s="4"/>
      <c r="D19" s="4"/>
      <c r="F19" s="6" t="s">
        <v>18</v>
      </c>
      <c r="G19" s="31">
        <f>SUM(G14:G18)</f>
        <v>7.2499999999999995E-2</v>
      </c>
      <c r="J19" s="7"/>
      <c r="K19" s="7"/>
      <c r="L19" s="7"/>
      <c r="M19" s="5"/>
      <c r="N19" s="6" t="s">
        <v>19</v>
      </c>
      <c r="O19" s="31">
        <f>SUM(O14:O17)</f>
        <v>8.6999999999999994E-2</v>
      </c>
      <c r="R19" s="7"/>
      <c r="S19" s="7"/>
      <c r="T19" s="7"/>
      <c r="U19" s="5"/>
      <c r="V19" s="8" t="s">
        <v>20</v>
      </c>
      <c r="W19" s="31">
        <f>SUM(W14:W18)</f>
        <v>5.8999999999999997E-2</v>
      </c>
      <c r="Z19" s="7"/>
      <c r="AA19" s="7"/>
      <c r="AB19" s="7"/>
      <c r="AC19" s="5"/>
      <c r="AD19" s="8" t="s">
        <v>20</v>
      </c>
      <c r="AE19" s="31">
        <f>SUM(AE14:AE18)</f>
        <v>0</v>
      </c>
    </row>
    <row r="20" spans="2:31" ht="16.8" x14ac:dyDescent="0.35">
      <c r="C20" s="4"/>
      <c r="D20" s="4"/>
      <c r="F20" s="6" t="s">
        <v>9</v>
      </c>
      <c r="G20" s="32">
        <v>0.06</v>
      </c>
      <c r="N20" s="6" t="s">
        <v>11</v>
      </c>
      <c r="O20" s="32">
        <v>0.08</v>
      </c>
      <c r="R20" s="7"/>
      <c r="S20" s="7"/>
      <c r="T20" s="7"/>
      <c r="U20" s="5"/>
      <c r="V20" s="8" t="s">
        <v>13</v>
      </c>
      <c r="W20" s="32">
        <v>0.03</v>
      </c>
      <c r="Z20" s="7"/>
      <c r="AA20" s="7"/>
      <c r="AB20" s="7"/>
      <c r="AC20" s="5"/>
      <c r="AD20" s="8" t="s">
        <v>13</v>
      </c>
      <c r="AE20" s="32">
        <v>0</v>
      </c>
    </row>
    <row r="21" spans="2:31" x14ac:dyDescent="0.35">
      <c r="C21" s="4"/>
      <c r="D21" s="4"/>
    </row>
    <row r="22" spans="2:31" ht="16.8" x14ac:dyDescent="0.35">
      <c r="C22" s="9" t="s">
        <v>68</v>
      </c>
      <c r="D22" s="33">
        <f>IFERROR(PMT(rentalPerc/12,term,-((D13*RentalBrok)+(D13)),0,0),"")</f>
        <v>1627.7253931250798</v>
      </c>
      <c r="K22" s="9" t="s">
        <v>67</v>
      </c>
      <c r="L22" s="88">
        <f>IFERROR(PMT(ChattelPerc/12,term,-((L13*ChattelBrok)+(L13)),0,0),"")</f>
        <v>1909.9176428247301</v>
      </c>
      <c r="S22" s="9" t="s">
        <v>69</v>
      </c>
      <c r="T22" s="88">
        <f>IFERROR(PMT(BankPerc/12,term,-((T13*BankBrok)+(T13)),0,0),"")</f>
        <v>1665.7712246450656</v>
      </c>
    </row>
    <row r="23" spans="2:31" x14ac:dyDescent="0.35">
      <c r="D23" s="34"/>
      <c r="L23" s="39"/>
      <c r="T23" s="39"/>
    </row>
    <row r="24" spans="2:31" x14ac:dyDescent="0.35">
      <c r="C24" s="18"/>
      <c r="D24" s="62" t="s">
        <v>10</v>
      </c>
      <c r="L24" s="39"/>
      <c r="T24" s="39"/>
    </row>
    <row r="25" spans="2:31" x14ac:dyDescent="0.35">
      <c r="B25" s="7">
        <v>1</v>
      </c>
      <c r="C25" s="36" t="s">
        <v>21</v>
      </c>
      <c r="D25" s="40">
        <f>(D22)*12</f>
        <v>19532.704717500957</v>
      </c>
      <c r="J25" s="7">
        <v>1</v>
      </c>
      <c r="K25" s="36" t="s">
        <v>21</v>
      </c>
      <c r="L25" s="40">
        <f>(L22)*12</f>
        <v>22919.011713896762</v>
      </c>
      <c r="R25" s="7">
        <v>1</v>
      </c>
      <c r="S25" s="36" t="s">
        <v>21</v>
      </c>
      <c r="T25" s="40">
        <f>(T22)*12</f>
        <v>19989.254695740787</v>
      </c>
      <c r="Z25" s="7">
        <v>1</v>
      </c>
      <c r="AA25" s="36" t="s">
        <v>21</v>
      </c>
      <c r="AB25" s="20">
        <f>AB13</f>
        <v>109998.90000000001</v>
      </c>
    </row>
    <row r="26" spans="2:31" x14ac:dyDescent="0.35">
      <c r="B26" s="7">
        <v>2</v>
      </c>
      <c r="C26" s="51" t="s">
        <v>22</v>
      </c>
      <c r="D26" s="52">
        <f t="shared" ref="D26:D34" si="3">IF(B26&lt;=term/12,D25,0)</f>
        <v>19532.704717500957</v>
      </c>
      <c r="J26" s="7">
        <v>2</v>
      </c>
      <c r="K26" s="36" t="s">
        <v>22</v>
      </c>
      <c r="L26" s="40">
        <f t="shared" ref="L26:L34" si="4">IF(J26&lt;=term/12,L25,0)</f>
        <v>22919.011713896762</v>
      </c>
      <c r="R26" s="7">
        <v>2</v>
      </c>
      <c r="S26" s="36" t="s">
        <v>22</v>
      </c>
      <c r="T26" s="40">
        <f t="shared" ref="T26:T34" si="5">IF(R26&lt;=term/12,T25,0)</f>
        <v>19989.254695740787</v>
      </c>
      <c r="Z26" s="7">
        <v>2</v>
      </c>
      <c r="AA26" s="36" t="s">
        <v>22</v>
      </c>
      <c r="AB26" s="20">
        <v>0</v>
      </c>
    </row>
    <row r="27" spans="2:31" x14ac:dyDescent="0.35">
      <c r="B27" s="7">
        <v>3</v>
      </c>
      <c r="C27" s="51" t="s">
        <v>23</v>
      </c>
      <c r="D27" s="52">
        <f t="shared" si="3"/>
        <v>19532.704717500957</v>
      </c>
      <c r="J27" s="7">
        <v>3</v>
      </c>
      <c r="K27" s="36" t="s">
        <v>23</v>
      </c>
      <c r="L27" s="40">
        <f t="shared" si="4"/>
        <v>22919.011713896762</v>
      </c>
      <c r="R27" s="7">
        <v>3</v>
      </c>
      <c r="S27" s="36" t="s">
        <v>23</v>
      </c>
      <c r="T27" s="40">
        <f t="shared" si="5"/>
        <v>19989.254695740787</v>
      </c>
      <c r="Z27" s="7">
        <v>3</v>
      </c>
      <c r="AA27" s="36" t="s">
        <v>23</v>
      </c>
      <c r="AB27" s="20">
        <v>0</v>
      </c>
    </row>
    <row r="28" spans="2:31" x14ac:dyDescent="0.35">
      <c r="B28" s="7">
        <v>4</v>
      </c>
      <c r="C28" s="51" t="s">
        <v>24</v>
      </c>
      <c r="D28" s="52">
        <f t="shared" si="3"/>
        <v>19532.704717500957</v>
      </c>
      <c r="J28" s="7">
        <v>4</v>
      </c>
      <c r="K28" s="36" t="s">
        <v>24</v>
      </c>
      <c r="L28" s="40">
        <f t="shared" si="4"/>
        <v>22919.011713896762</v>
      </c>
      <c r="R28" s="7">
        <v>4</v>
      </c>
      <c r="S28" s="36" t="s">
        <v>24</v>
      </c>
      <c r="T28" s="40">
        <f t="shared" si="5"/>
        <v>19989.254695740787</v>
      </c>
      <c r="Z28" s="7">
        <v>4</v>
      </c>
      <c r="AA28" s="36" t="s">
        <v>24</v>
      </c>
      <c r="AB28" s="20">
        <v>0</v>
      </c>
    </row>
    <row r="29" spans="2:31" x14ac:dyDescent="0.35">
      <c r="B29" s="7">
        <v>5</v>
      </c>
      <c r="C29" s="51" t="s">
        <v>25</v>
      </c>
      <c r="D29" s="52">
        <f t="shared" si="3"/>
        <v>19532.704717500957</v>
      </c>
      <c r="J29" s="7">
        <v>5</v>
      </c>
      <c r="K29" s="36" t="s">
        <v>25</v>
      </c>
      <c r="L29" s="40">
        <f t="shared" si="4"/>
        <v>22919.011713896762</v>
      </c>
      <c r="R29" s="7">
        <v>5</v>
      </c>
      <c r="S29" s="36" t="s">
        <v>25</v>
      </c>
      <c r="T29" s="40">
        <f t="shared" si="5"/>
        <v>19989.254695740787</v>
      </c>
      <c r="Z29" s="7">
        <v>5</v>
      </c>
      <c r="AA29" s="36" t="s">
        <v>25</v>
      </c>
      <c r="AB29" s="20">
        <v>0</v>
      </c>
    </row>
    <row r="30" spans="2:31" x14ac:dyDescent="0.35">
      <c r="B30" s="7">
        <v>6</v>
      </c>
      <c r="C30" s="51" t="s">
        <v>70</v>
      </c>
      <c r="D30" s="52">
        <f t="shared" si="3"/>
        <v>19532.704717500957</v>
      </c>
      <c r="J30" s="7">
        <v>6</v>
      </c>
      <c r="K30" s="36" t="s">
        <v>70</v>
      </c>
      <c r="L30" s="40">
        <f t="shared" si="4"/>
        <v>22919.011713896762</v>
      </c>
      <c r="R30" s="7">
        <v>6</v>
      </c>
      <c r="S30" s="36" t="s">
        <v>70</v>
      </c>
      <c r="T30" s="40">
        <f t="shared" si="5"/>
        <v>19989.254695740787</v>
      </c>
      <c r="Z30" s="7">
        <v>6</v>
      </c>
      <c r="AA30" s="36" t="s">
        <v>70</v>
      </c>
      <c r="AB30" s="20">
        <v>0</v>
      </c>
    </row>
    <row r="31" spans="2:31" x14ac:dyDescent="0.35">
      <c r="B31" s="7">
        <v>7</v>
      </c>
      <c r="C31" s="51" t="s">
        <v>71</v>
      </c>
      <c r="D31" s="52">
        <f t="shared" si="3"/>
        <v>0</v>
      </c>
      <c r="J31" s="7">
        <v>7</v>
      </c>
      <c r="K31" s="36" t="s">
        <v>71</v>
      </c>
      <c r="L31" s="40">
        <f t="shared" si="4"/>
        <v>0</v>
      </c>
      <c r="R31" s="7">
        <v>7</v>
      </c>
      <c r="S31" s="36" t="s">
        <v>71</v>
      </c>
      <c r="T31" s="40">
        <f t="shared" si="5"/>
        <v>0</v>
      </c>
      <c r="Z31" s="7">
        <v>7</v>
      </c>
      <c r="AA31" s="36" t="s">
        <v>71</v>
      </c>
      <c r="AB31" s="20">
        <v>0</v>
      </c>
    </row>
    <row r="32" spans="2:31" x14ac:dyDescent="0.35">
      <c r="B32" s="7">
        <v>8</v>
      </c>
      <c r="C32" s="51" t="s">
        <v>72</v>
      </c>
      <c r="D32" s="52">
        <f t="shared" si="3"/>
        <v>0</v>
      </c>
      <c r="J32" s="7">
        <v>8</v>
      </c>
      <c r="K32" s="36" t="s">
        <v>72</v>
      </c>
      <c r="L32" s="40">
        <f t="shared" si="4"/>
        <v>0</v>
      </c>
      <c r="R32" s="7">
        <v>8</v>
      </c>
      <c r="S32" s="36" t="s">
        <v>72</v>
      </c>
      <c r="T32" s="40">
        <f t="shared" si="5"/>
        <v>0</v>
      </c>
      <c r="Z32" s="7">
        <v>8</v>
      </c>
      <c r="AA32" s="36" t="s">
        <v>72</v>
      </c>
      <c r="AB32" s="20">
        <v>0</v>
      </c>
    </row>
    <row r="33" spans="1:29" x14ac:dyDescent="0.35">
      <c r="B33" s="7">
        <v>9</v>
      </c>
      <c r="C33" s="51" t="s">
        <v>73</v>
      </c>
      <c r="D33" s="52">
        <f t="shared" si="3"/>
        <v>0</v>
      </c>
      <c r="J33" s="7">
        <v>9</v>
      </c>
      <c r="K33" s="36" t="s">
        <v>73</v>
      </c>
      <c r="L33" s="40">
        <f t="shared" si="4"/>
        <v>0</v>
      </c>
      <c r="R33" s="7">
        <v>9</v>
      </c>
      <c r="S33" s="36" t="s">
        <v>73</v>
      </c>
      <c r="T33" s="40">
        <f t="shared" si="5"/>
        <v>0</v>
      </c>
      <c r="Z33" s="7">
        <v>9</v>
      </c>
      <c r="AA33" s="36" t="s">
        <v>73</v>
      </c>
      <c r="AB33" s="20">
        <v>0</v>
      </c>
    </row>
    <row r="34" spans="1:29" x14ac:dyDescent="0.35">
      <c r="B34" s="7">
        <v>10</v>
      </c>
      <c r="C34" s="53" t="s">
        <v>74</v>
      </c>
      <c r="D34" s="49">
        <f t="shared" si="3"/>
        <v>0</v>
      </c>
      <c r="J34" s="7">
        <v>10</v>
      </c>
      <c r="K34" s="53" t="s">
        <v>74</v>
      </c>
      <c r="L34" s="40">
        <f t="shared" si="4"/>
        <v>0</v>
      </c>
      <c r="R34" s="7">
        <v>10</v>
      </c>
      <c r="S34" s="53" t="s">
        <v>74</v>
      </c>
      <c r="T34" s="40">
        <f t="shared" si="5"/>
        <v>0</v>
      </c>
      <c r="Z34" s="7">
        <v>10</v>
      </c>
      <c r="AA34" s="53" t="s">
        <v>74</v>
      </c>
      <c r="AB34" s="67">
        <v>0</v>
      </c>
    </row>
    <row r="35" spans="1:29" x14ac:dyDescent="0.35">
      <c r="C35" s="36"/>
      <c r="D35" s="66">
        <f>SUM(D25:D34)</f>
        <v>117196.22830500573</v>
      </c>
      <c r="J35" s="7"/>
      <c r="K35" s="36"/>
      <c r="L35" s="57">
        <f>SUM(L25:L34)</f>
        <v>137514.07028338057</v>
      </c>
      <c r="R35" s="7"/>
      <c r="S35" s="36"/>
      <c r="T35" s="57">
        <f>SUM(T25:T34)</f>
        <v>119935.52817444473</v>
      </c>
      <c r="AA35" s="36"/>
      <c r="AB35" s="68">
        <f>SUM(AB25:AB34)</f>
        <v>109998.90000000001</v>
      </c>
    </row>
    <row r="36" spans="1:29" x14ac:dyDescent="0.35">
      <c r="B36" s="18" t="s">
        <v>26</v>
      </c>
      <c r="C36" s="36"/>
      <c r="D36" s="40"/>
      <c r="J36" s="18" t="s">
        <v>26</v>
      </c>
      <c r="K36" s="36"/>
      <c r="L36" s="40"/>
      <c r="R36" s="18" t="s">
        <v>26</v>
      </c>
      <c r="S36" s="36"/>
      <c r="T36" s="40"/>
      <c r="Z36" s="18" t="s">
        <v>26</v>
      </c>
      <c r="AA36" s="36"/>
      <c r="AB36" s="20"/>
    </row>
    <row r="37" spans="1:29" x14ac:dyDescent="0.35">
      <c r="B37" s="19"/>
      <c r="C37" s="59" t="s">
        <v>27</v>
      </c>
      <c r="D37" s="58">
        <v>0</v>
      </c>
      <c r="J37" s="19"/>
      <c r="K37" s="59" t="s">
        <v>27</v>
      </c>
      <c r="L37" s="58">
        <f>$F5</f>
        <v>9999.9000000000087</v>
      </c>
      <c r="R37" s="19"/>
      <c r="S37" s="59" t="s">
        <v>27</v>
      </c>
      <c r="T37" s="58">
        <f>$F5</f>
        <v>9999.9000000000087</v>
      </c>
      <c r="Z37" s="19"/>
      <c r="AA37" s="59" t="s">
        <v>27</v>
      </c>
      <c r="AB37" s="58">
        <f>$F5</f>
        <v>9999.9000000000087</v>
      </c>
    </row>
    <row r="38" spans="1:29" x14ac:dyDescent="0.35">
      <c r="B38" s="19" t="s">
        <v>28</v>
      </c>
      <c r="C38" s="37"/>
      <c r="D38" s="48"/>
      <c r="J38" s="19" t="s">
        <v>28</v>
      </c>
      <c r="K38" s="37"/>
      <c r="L38" s="48"/>
      <c r="R38" s="19" t="s">
        <v>28</v>
      </c>
      <c r="S38" s="37"/>
      <c r="T38" s="48"/>
      <c r="Z38" s="19" t="s">
        <v>28</v>
      </c>
      <c r="AA38" s="37"/>
      <c r="AB38" s="48"/>
    </row>
    <row r="39" spans="1:29" x14ac:dyDescent="0.35">
      <c r="B39" s="54" t="s">
        <v>21</v>
      </c>
      <c r="C39" s="55" t="s">
        <v>29</v>
      </c>
      <c r="D39" s="56">
        <v>0</v>
      </c>
      <c r="E39">
        <v>12</v>
      </c>
      <c r="J39" s="54" t="s">
        <v>21</v>
      </c>
      <c r="K39" s="55" t="s">
        <v>29</v>
      </c>
      <c r="L39" s="56">
        <f>VLOOKUP(J39,interest,4,FALSE)</f>
        <v>8267.1740811612835</v>
      </c>
      <c r="M39">
        <v>12</v>
      </c>
      <c r="R39" s="54" t="s">
        <v>21</v>
      </c>
      <c r="S39" s="55" t="s">
        <v>29</v>
      </c>
      <c r="T39" s="56">
        <f>VLOOKUP(R39,interest,5,FALSE)</f>
        <v>5577.1331747170661</v>
      </c>
      <c r="U39">
        <v>12</v>
      </c>
      <c r="Z39" s="54" t="s">
        <v>21</v>
      </c>
      <c r="AA39" s="55" t="s">
        <v>29</v>
      </c>
      <c r="AB39" s="56">
        <v>0</v>
      </c>
      <c r="AC39">
        <v>12</v>
      </c>
    </row>
    <row r="40" spans="1:29" x14ac:dyDescent="0.35">
      <c r="B40" s="54" t="str">
        <f>B39</f>
        <v>Y1</v>
      </c>
      <c r="C40" s="51" t="s">
        <v>30</v>
      </c>
      <c r="D40" s="52">
        <v>0</v>
      </c>
      <c r="E40" s="47">
        <f>IF(revenueless2,100%,depri)</f>
        <v>0.05</v>
      </c>
      <c r="J40" s="54" t="str">
        <f>J39</f>
        <v>Y1</v>
      </c>
      <c r="K40" s="51" t="s">
        <v>30</v>
      </c>
      <c r="L40" s="56">
        <f>IF(M39&lt;=term,value*M40,0)</f>
        <v>4999.9500000000007</v>
      </c>
      <c r="M40" s="47">
        <f>IF(revenueless2,100%,depri)</f>
        <v>0.05</v>
      </c>
      <c r="R40" s="54" t="str">
        <f>R39</f>
        <v>Y1</v>
      </c>
      <c r="S40" s="51" t="s">
        <v>30</v>
      </c>
      <c r="T40" s="56">
        <f>IF(U39&lt;=term,value*U40,0)</f>
        <v>4999.9500000000007</v>
      </c>
      <c r="U40" s="47">
        <f>IF(revenueless2,100%,depri)</f>
        <v>0.05</v>
      </c>
      <c r="Z40" s="54" t="str">
        <f>Z39</f>
        <v>Y1</v>
      </c>
      <c r="AA40" s="51" t="s">
        <v>30</v>
      </c>
      <c r="AB40" s="52">
        <f>IF(AC39&lt;=term,value/1.1*AC40,0)</f>
        <v>4545.409090909091</v>
      </c>
      <c r="AC40" s="47">
        <f>IF(revenueless2,100%,depri)</f>
        <v>0.05</v>
      </c>
    </row>
    <row r="41" spans="1:29" x14ac:dyDescent="0.35">
      <c r="B41" s="54" t="str">
        <f t="shared" ref="B41:B44" si="6">B40</f>
        <v>Y1</v>
      </c>
      <c r="C41" s="53" t="s">
        <v>31</v>
      </c>
      <c r="D41" s="49">
        <f>VLOOKUP(B41,rentaltable,2,FALSE)</f>
        <v>19532.704717500957</v>
      </c>
      <c r="E41"/>
      <c r="J41" s="54" t="str">
        <f t="shared" ref="J41:J44" si="7">J40</f>
        <v>Y1</v>
      </c>
      <c r="K41" s="53" t="s">
        <v>31</v>
      </c>
      <c r="L41" s="49">
        <v>0</v>
      </c>
      <c r="R41" s="54" t="str">
        <f t="shared" ref="R41:R44" si="8">R40</f>
        <v>Y1</v>
      </c>
      <c r="S41" s="53" t="s">
        <v>31</v>
      </c>
      <c r="T41" s="49">
        <v>0</v>
      </c>
      <c r="Z41" s="54" t="str">
        <f t="shared" ref="Z41:Z44" si="9">Z40</f>
        <v>Y1</v>
      </c>
      <c r="AA41" s="53" t="s">
        <v>31</v>
      </c>
      <c r="AB41" s="49">
        <v>0</v>
      </c>
    </row>
    <row r="42" spans="1:29" x14ac:dyDescent="0.35">
      <c r="B42" s="54" t="str">
        <f t="shared" si="6"/>
        <v>Y1</v>
      </c>
      <c r="C42" s="38" t="s">
        <v>32</v>
      </c>
      <c r="D42" s="50">
        <f>SUM(D39:D41)</f>
        <v>19532.704717500957</v>
      </c>
      <c r="E42"/>
      <c r="J42" s="54" t="str">
        <f t="shared" si="7"/>
        <v>Y1</v>
      </c>
      <c r="K42" s="38" t="s">
        <v>32</v>
      </c>
      <c r="L42" s="50">
        <f>SUM(L39:L41)</f>
        <v>13267.124081161284</v>
      </c>
      <c r="R42" s="54" t="str">
        <f t="shared" si="8"/>
        <v>Y1</v>
      </c>
      <c r="S42" s="38" t="s">
        <v>32</v>
      </c>
      <c r="T42" s="50">
        <f t="shared" ref="T42" si="10">SUM(T39:T41)</f>
        <v>10577.083174717067</v>
      </c>
      <c r="Z42" s="54" t="str">
        <f t="shared" si="9"/>
        <v>Y1</v>
      </c>
      <c r="AA42" s="38" t="s">
        <v>32</v>
      </c>
      <c r="AB42" s="50">
        <f>SUM(AB39:AB41)</f>
        <v>4545.409090909091</v>
      </c>
    </row>
    <row r="43" spans="1:29" x14ac:dyDescent="0.35">
      <c r="B43" s="54" t="str">
        <f t="shared" si="6"/>
        <v>Y1</v>
      </c>
      <c r="C43" s="36" t="s">
        <v>33</v>
      </c>
      <c r="D43" s="40">
        <f>IF(E39&lt;=term,IF(nonprofit,0,D42*taxrate),0)</f>
        <v>5859.8114152502867</v>
      </c>
      <c r="E43"/>
      <c r="J43" s="54" t="str">
        <f t="shared" si="7"/>
        <v>Y1</v>
      </c>
      <c r="K43" s="36" t="s">
        <v>33</v>
      </c>
      <c r="L43" s="40">
        <f>IF(M39&lt;=term,IF(nonprofit,0,L42*taxrate),0)</f>
        <v>3980.1372243483852</v>
      </c>
      <c r="R43" s="54" t="str">
        <f t="shared" si="8"/>
        <v>Y1</v>
      </c>
      <c r="S43" s="36" t="s">
        <v>33</v>
      </c>
      <c r="T43" s="40">
        <f>IF(U39&lt;=term,IF(nonprofit,0,T42*taxrate),0)</f>
        <v>3173.1249524151199</v>
      </c>
      <c r="Z43" s="54" t="str">
        <f t="shared" si="9"/>
        <v>Y1</v>
      </c>
      <c r="AA43" s="36" t="s">
        <v>33</v>
      </c>
      <c r="AB43" s="40">
        <f>IF(AC39&lt;=term,IF(nonprofit,0,AB42*taxrate),0)</f>
        <v>1363.6227272727272</v>
      </c>
    </row>
    <row r="44" spans="1:29" x14ac:dyDescent="0.35">
      <c r="A44" s="7" t="s">
        <v>118</v>
      </c>
      <c r="B44" s="54" t="str">
        <f t="shared" si="6"/>
        <v>Y1</v>
      </c>
      <c r="C44" s="38" t="s">
        <v>117</v>
      </c>
      <c r="D44" s="50">
        <f>D41-D43</f>
        <v>13672.893302250672</v>
      </c>
      <c r="E44">
        <f>IF(E39&lt;=term,1,0)</f>
        <v>1</v>
      </c>
      <c r="J44" s="54" t="str">
        <f t="shared" si="7"/>
        <v>Y1</v>
      </c>
      <c r="K44" s="38" t="s">
        <v>117</v>
      </c>
      <c r="L44" s="50">
        <f>M44*(VLOOKUP(J44,CHATTELYEARS,2,FALSE)-L37-L43)</f>
        <v>8938.9744895483673</v>
      </c>
      <c r="M44">
        <f>IF(M39&lt;=term,1,0)</f>
        <v>1</v>
      </c>
      <c r="R44" s="54" t="str">
        <f t="shared" si="8"/>
        <v>Y1</v>
      </c>
      <c r="S44" s="38" t="s">
        <v>117</v>
      </c>
      <c r="T44" s="50">
        <f>U44*(VLOOKUP(R44,BankYears,2,FALSE)-T37-T43)</f>
        <v>6816.2297433256581</v>
      </c>
      <c r="U44">
        <f>IF(U39&lt;=term,1,0)</f>
        <v>1</v>
      </c>
      <c r="Z44" s="54" t="str">
        <f t="shared" si="9"/>
        <v>Y1</v>
      </c>
      <c r="AA44" s="38" t="s">
        <v>34</v>
      </c>
      <c r="AB44" s="50">
        <f>AC44*(AB25-AB37-AB43)</f>
        <v>98635.377272727274</v>
      </c>
      <c r="AC44">
        <f>IF(AC39&lt;=term,1,0)</f>
        <v>1</v>
      </c>
    </row>
    <row r="45" spans="1:29" x14ac:dyDescent="0.35">
      <c r="B45" s="54"/>
      <c r="C45" s="36"/>
      <c r="D45" s="40"/>
      <c r="E45"/>
      <c r="J45" s="54"/>
      <c r="K45" s="36"/>
      <c r="L45" s="40"/>
      <c r="R45" s="54"/>
      <c r="S45" s="36"/>
      <c r="T45" s="40"/>
      <c r="Z45" s="54"/>
      <c r="AA45" s="36"/>
      <c r="AB45" s="40"/>
    </row>
    <row r="46" spans="1:29" x14ac:dyDescent="0.35">
      <c r="B46" s="54" t="s">
        <v>22</v>
      </c>
      <c r="C46" s="55" t="s">
        <v>35</v>
      </c>
      <c r="D46" s="56">
        <v>0</v>
      </c>
      <c r="E46">
        <f>E39+12</f>
        <v>24</v>
      </c>
      <c r="I46" s="42"/>
      <c r="J46" s="54" t="s">
        <v>22</v>
      </c>
      <c r="K46" s="55" t="s">
        <v>35</v>
      </c>
      <c r="L46" s="56">
        <f>VLOOKUP(J46,interest,4,FALSE)</f>
        <v>7268.8193625355216</v>
      </c>
      <c r="M46">
        <f>M39+12</f>
        <v>24</v>
      </c>
      <c r="R46" s="54" t="s">
        <v>22</v>
      </c>
      <c r="S46" s="55" t="s">
        <v>35</v>
      </c>
      <c r="T46" s="56">
        <f>VLOOKUP(R46,interest,5,FALSE)</f>
        <v>4845.691572490452</v>
      </c>
      <c r="U46">
        <f>U39+12</f>
        <v>24</v>
      </c>
      <c r="Z46" s="54" t="s">
        <v>22</v>
      </c>
      <c r="AA46" s="55" t="s">
        <v>35</v>
      </c>
      <c r="AB46" s="56">
        <v>0</v>
      </c>
      <c r="AC46">
        <f>AC39+12</f>
        <v>24</v>
      </c>
    </row>
    <row r="47" spans="1:29" x14ac:dyDescent="0.35">
      <c r="B47" s="54" t="str">
        <f>B46</f>
        <v>Y2</v>
      </c>
      <c r="C47" s="51" t="s">
        <v>36</v>
      </c>
      <c r="D47" s="52">
        <v>0</v>
      </c>
      <c r="E47" s="47">
        <f>IF(revenueless2,0,depri)</f>
        <v>0.05</v>
      </c>
      <c r="I47" s="42"/>
      <c r="J47" s="54" t="str">
        <f>J46</f>
        <v>Y2</v>
      </c>
      <c r="K47" s="51" t="s">
        <v>36</v>
      </c>
      <c r="L47" s="56">
        <f>IF(M46&lt;=term,value*M47,0)</f>
        <v>4999.9500000000007</v>
      </c>
      <c r="M47" s="47">
        <f>IF(revenueless2,0,depri)</f>
        <v>0.05</v>
      </c>
      <c r="R47" s="54" t="str">
        <f>R46</f>
        <v>Y2</v>
      </c>
      <c r="S47" s="51" t="s">
        <v>36</v>
      </c>
      <c r="T47" s="56">
        <f>IF(U46&lt;=term,value*U47,0)</f>
        <v>4999.9500000000007</v>
      </c>
      <c r="U47" s="47">
        <f>IF(revenueless2,0,depri)</f>
        <v>0.05</v>
      </c>
      <c r="Z47" s="54" t="str">
        <f>Z46</f>
        <v>Y2</v>
      </c>
      <c r="AA47" s="51" t="s">
        <v>36</v>
      </c>
      <c r="AB47" s="52">
        <f>IF(AC46&lt;=term,value/1.1*AC47,0)</f>
        <v>4545.409090909091</v>
      </c>
      <c r="AC47" s="47">
        <f>IF(revenueless2,0,depri)</f>
        <v>0.05</v>
      </c>
    </row>
    <row r="48" spans="1:29" x14ac:dyDescent="0.35">
      <c r="B48" s="54" t="str">
        <f t="shared" ref="B48:B51" si="11">B47</f>
        <v>Y2</v>
      </c>
      <c r="C48" s="53" t="s">
        <v>37</v>
      </c>
      <c r="D48" s="49">
        <f>VLOOKUP(B48,rentaltable,2,FALSE)</f>
        <v>19532.704717500957</v>
      </c>
      <c r="E48"/>
      <c r="I48" s="42"/>
      <c r="J48" s="54" t="str">
        <f t="shared" ref="J48:J51" si="12">J47</f>
        <v>Y2</v>
      </c>
      <c r="K48" s="53" t="s">
        <v>37</v>
      </c>
      <c r="L48" s="49">
        <v>0</v>
      </c>
      <c r="R48" s="54" t="str">
        <f t="shared" ref="R48:R51" si="13">R47</f>
        <v>Y2</v>
      </c>
      <c r="S48" s="53" t="s">
        <v>37</v>
      </c>
      <c r="T48" s="49">
        <v>0</v>
      </c>
      <c r="Z48" s="54" t="str">
        <f t="shared" ref="Z48:Z51" si="14">Z47</f>
        <v>Y2</v>
      </c>
      <c r="AA48" s="53" t="s">
        <v>37</v>
      </c>
      <c r="AB48" s="49">
        <v>0</v>
      </c>
    </row>
    <row r="49" spans="1:29" x14ac:dyDescent="0.35">
      <c r="B49" s="54" t="str">
        <f t="shared" si="11"/>
        <v>Y2</v>
      </c>
      <c r="C49" s="38" t="s">
        <v>38</v>
      </c>
      <c r="D49" s="50">
        <f>SUM(D46:D48)</f>
        <v>19532.704717500957</v>
      </c>
      <c r="E49"/>
      <c r="I49" s="42"/>
      <c r="J49" s="54" t="str">
        <f t="shared" si="12"/>
        <v>Y2</v>
      </c>
      <c r="K49" s="38" t="s">
        <v>38</v>
      </c>
      <c r="L49" s="50">
        <f t="shared" ref="L49" si="15">SUM(L46:L48)</f>
        <v>12268.769362535522</v>
      </c>
      <c r="R49" s="54" t="str">
        <f t="shared" si="13"/>
        <v>Y2</v>
      </c>
      <c r="S49" s="38" t="s">
        <v>38</v>
      </c>
      <c r="T49" s="50">
        <f t="shared" ref="T49" si="16">SUM(T46:T48)</f>
        <v>9845.6415724904527</v>
      </c>
      <c r="Z49" s="54" t="str">
        <f t="shared" si="14"/>
        <v>Y2</v>
      </c>
      <c r="AA49" s="38" t="s">
        <v>38</v>
      </c>
      <c r="AB49" s="50">
        <f>SUM(AB46:AB48)</f>
        <v>4545.409090909091</v>
      </c>
    </row>
    <row r="50" spans="1:29" x14ac:dyDescent="0.35">
      <c r="B50" s="54" t="str">
        <f t="shared" si="11"/>
        <v>Y2</v>
      </c>
      <c r="C50" s="36" t="s">
        <v>39</v>
      </c>
      <c r="D50" s="40">
        <f>IF(E46&lt;=term,IF(nonprofit,0,D49*taxrate),0)</f>
        <v>5859.8114152502867</v>
      </c>
      <c r="E50"/>
      <c r="I50" s="42"/>
      <c r="J50" s="54" t="str">
        <f t="shared" si="12"/>
        <v>Y2</v>
      </c>
      <c r="K50" s="36" t="s">
        <v>39</v>
      </c>
      <c r="L50" s="40">
        <f>IF(M46&lt;=term,IF(nonprofit,0,L49*taxrate),0)</f>
        <v>3680.6308087606567</v>
      </c>
      <c r="R50" s="54" t="str">
        <f t="shared" si="13"/>
        <v>Y2</v>
      </c>
      <c r="S50" s="36" t="s">
        <v>39</v>
      </c>
      <c r="T50" s="40">
        <f>IF(U46&lt;=term,IF(nonprofit,0,T49*taxrate),0)</f>
        <v>2953.6924717471356</v>
      </c>
      <c r="Z50" s="54" t="str">
        <f t="shared" si="14"/>
        <v>Y2</v>
      </c>
      <c r="AA50" s="36" t="s">
        <v>39</v>
      </c>
      <c r="AB50" s="40">
        <f>IF(AC46&lt;=term,IF(nonprofit,0,AB49*taxrate),0)</f>
        <v>1363.6227272727272</v>
      </c>
    </row>
    <row r="51" spans="1:29" x14ac:dyDescent="0.35">
      <c r="A51" s="7" t="s">
        <v>83</v>
      </c>
      <c r="B51" s="54" t="str">
        <f t="shared" si="11"/>
        <v>Y2</v>
      </c>
      <c r="C51" s="38" t="s">
        <v>65</v>
      </c>
      <c r="D51" s="86">
        <f>E51*(D44+D48-D50)</f>
        <v>27345.786604501347</v>
      </c>
      <c r="E51">
        <f>IF(E46&lt;=term,1,0)</f>
        <v>1</v>
      </c>
      <c r="I51" s="42"/>
      <c r="J51" s="54" t="str">
        <f t="shared" si="12"/>
        <v>Y2</v>
      </c>
      <c r="K51" s="38" t="s">
        <v>65</v>
      </c>
      <c r="L51" s="50">
        <f>M51*(L44+VLOOKUP(J51,CHATTELYEARS,2,FALSE)-L50)</f>
        <v>28177.355394684473</v>
      </c>
      <c r="M51">
        <f>IF(M46&lt;=term,1,0)</f>
        <v>1</v>
      </c>
      <c r="R51" s="54" t="str">
        <f t="shared" si="13"/>
        <v>Y2</v>
      </c>
      <c r="S51" s="38" t="s">
        <v>65</v>
      </c>
      <c r="T51" s="50">
        <f>U51*(T44+VLOOKUP(R51,BankYears,2,FALSE)-T50)</f>
        <v>23851.79196731931</v>
      </c>
      <c r="U51">
        <f>IF(U46&lt;=term,1,0)</f>
        <v>1</v>
      </c>
      <c r="Z51" s="54" t="str">
        <f t="shared" si="14"/>
        <v>Y2</v>
      </c>
      <c r="AA51" s="38" t="s">
        <v>65</v>
      </c>
      <c r="AB51" s="86">
        <f>AC51*(AB44+AB26-AB50)</f>
        <v>97271.754545454547</v>
      </c>
      <c r="AC51">
        <f>IF(AC46&lt;=term,1,0)</f>
        <v>1</v>
      </c>
    </row>
    <row r="52" spans="1:29" x14ac:dyDescent="0.35">
      <c r="B52" s="54"/>
      <c r="C52" s="36"/>
      <c r="D52" s="40"/>
      <c r="E52"/>
      <c r="I52" s="42"/>
      <c r="J52" s="54"/>
      <c r="K52" s="36"/>
      <c r="L52" s="40"/>
      <c r="R52" s="54"/>
      <c r="S52" s="36"/>
      <c r="T52" s="40"/>
      <c r="Z52" s="54"/>
      <c r="AA52" s="36"/>
      <c r="AB52" s="40"/>
    </row>
    <row r="53" spans="1:29" x14ac:dyDescent="0.35">
      <c r="B53" s="54" t="s">
        <v>23</v>
      </c>
      <c r="C53" s="55" t="s">
        <v>40</v>
      </c>
      <c r="D53" s="56">
        <v>0</v>
      </c>
      <c r="E53">
        <f>E46+12</f>
        <v>36</v>
      </c>
      <c r="I53" s="42"/>
      <c r="J53" s="54" t="s">
        <v>23</v>
      </c>
      <c r="K53" s="55" t="s">
        <v>40</v>
      </c>
      <c r="L53" s="56">
        <f>VLOOKUP(J53,interest,4,FALSE)</f>
        <v>6180.0592855074956</v>
      </c>
      <c r="M53">
        <f>M46+12</f>
        <v>36</v>
      </c>
      <c r="R53" s="54" t="s">
        <v>23</v>
      </c>
      <c r="S53" s="55" t="s">
        <v>40</v>
      </c>
      <c r="T53" s="56">
        <f>VLOOKUP(R53,interest,5,FALSE)</f>
        <v>4069.9085923011826</v>
      </c>
      <c r="U53">
        <f>U46+12</f>
        <v>36</v>
      </c>
      <c r="Z53" s="54" t="s">
        <v>23</v>
      </c>
      <c r="AA53" s="55" t="s">
        <v>40</v>
      </c>
      <c r="AB53" s="56">
        <v>0</v>
      </c>
      <c r="AC53">
        <f>AC46+12</f>
        <v>36</v>
      </c>
    </row>
    <row r="54" spans="1:29" x14ac:dyDescent="0.35">
      <c r="B54" s="54" t="str">
        <f>B53</f>
        <v>Y3</v>
      </c>
      <c r="C54" s="51" t="s">
        <v>41</v>
      </c>
      <c r="D54" s="52">
        <v>0</v>
      </c>
      <c r="E54" s="47">
        <f>IF(revenueless2,0,depri)</f>
        <v>0.05</v>
      </c>
      <c r="J54" s="54" t="str">
        <f>J53</f>
        <v>Y3</v>
      </c>
      <c r="K54" s="51" t="s">
        <v>41</v>
      </c>
      <c r="L54" s="56">
        <f>IF(M53&lt;=term,value*M54,0)</f>
        <v>4999.9500000000007</v>
      </c>
      <c r="M54" s="47">
        <f>IF(revenueless2,0,depri)</f>
        <v>0.05</v>
      </c>
      <c r="R54" s="54" t="str">
        <f>R53</f>
        <v>Y3</v>
      </c>
      <c r="S54" s="51" t="s">
        <v>41</v>
      </c>
      <c r="T54" s="56">
        <f>IF(U53&lt;=term,value*U54,0)</f>
        <v>4999.9500000000007</v>
      </c>
      <c r="U54" s="47">
        <f>IF(revenueless2,0,depri)</f>
        <v>0.05</v>
      </c>
      <c r="Z54" s="54" t="str">
        <f>Z53</f>
        <v>Y3</v>
      </c>
      <c r="AA54" s="51" t="s">
        <v>41</v>
      </c>
      <c r="AB54" s="52">
        <f>IF(AC53&lt;=term,value/1.1*AC54,0)</f>
        <v>4545.409090909091</v>
      </c>
      <c r="AC54" s="47">
        <f>IF(revenueless2,0,depri)</f>
        <v>0.05</v>
      </c>
    </row>
    <row r="55" spans="1:29" x14ac:dyDescent="0.35">
      <c r="B55" s="54" t="str">
        <f t="shared" ref="B55:B58" si="17">B54</f>
        <v>Y3</v>
      </c>
      <c r="C55" s="53" t="s">
        <v>42</v>
      </c>
      <c r="D55" s="49">
        <f>VLOOKUP(B55,rentaltable,2,FALSE)</f>
        <v>19532.704717500957</v>
      </c>
      <c r="E55"/>
      <c r="J55" s="54" t="str">
        <f t="shared" ref="J55:J58" si="18">J54</f>
        <v>Y3</v>
      </c>
      <c r="K55" s="53" t="s">
        <v>42</v>
      </c>
      <c r="L55" s="49">
        <v>0</v>
      </c>
      <c r="R55" s="54" t="str">
        <f t="shared" ref="R55:R58" si="19">R54</f>
        <v>Y3</v>
      </c>
      <c r="S55" s="53" t="s">
        <v>42</v>
      </c>
      <c r="T55" s="49">
        <v>0</v>
      </c>
      <c r="Z55" s="54" t="str">
        <f t="shared" ref="Z55:Z58" si="20">Z54</f>
        <v>Y3</v>
      </c>
      <c r="AA55" s="53" t="s">
        <v>42</v>
      </c>
      <c r="AB55" s="49">
        <v>0</v>
      </c>
    </row>
    <row r="56" spans="1:29" x14ac:dyDescent="0.35">
      <c r="B56" s="54" t="str">
        <f t="shared" si="17"/>
        <v>Y3</v>
      </c>
      <c r="C56" s="38" t="s">
        <v>43</v>
      </c>
      <c r="D56" s="50">
        <f>SUM(D53:D55)</f>
        <v>19532.704717500957</v>
      </c>
      <c r="E56"/>
      <c r="J56" s="54" t="str">
        <f t="shared" si="18"/>
        <v>Y3</v>
      </c>
      <c r="K56" s="38" t="s">
        <v>43</v>
      </c>
      <c r="L56" s="50">
        <f t="shared" ref="L56" si="21">SUM(L53:L55)</f>
        <v>11180.009285507496</v>
      </c>
      <c r="R56" s="54" t="str">
        <f t="shared" si="19"/>
        <v>Y3</v>
      </c>
      <c r="S56" s="38" t="s">
        <v>43</v>
      </c>
      <c r="T56" s="50">
        <f t="shared" ref="T56" si="22">SUM(T53:T55)</f>
        <v>9069.8585923011833</v>
      </c>
      <c r="Z56" s="54" t="str">
        <f t="shared" si="20"/>
        <v>Y3</v>
      </c>
      <c r="AA56" s="38" t="s">
        <v>43</v>
      </c>
      <c r="AB56" s="50">
        <f>SUM(AB53:AB55)</f>
        <v>4545.409090909091</v>
      </c>
    </row>
    <row r="57" spans="1:29" x14ac:dyDescent="0.35">
      <c r="B57" s="54" t="str">
        <f t="shared" si="17"/>
        <v>Y3</v>
      </c>
      <c r="C57" s="36" t="s">
        <v>44</v>
      </c>
      <c r="D57" s="40">
        <f>IF(E53&lt;=term,IF(nonprofit,0,D56*taxrate),0)</f>
        <v>5859.8114152502867</v>
      </c>
      <c r="E57"/>
      <c r="J57" s="54" t="str">
        <f t="shared" si="18"/>
        <v>Y3</v>
      </c>
      <c r="K57" s="36" t="s">
        <v>44</v>
      </c>
      <c r="L57" s="40">
        <f>IF(M53&lt;=term,IF(nonprofit,0,L56*taxrate),0)</f>
        <v>3354.0027856522488</v>
      </c>
      <c r="R57" s="54" t="str">
        <f t="shared" si="19"/>
        <v>Y3</v>
      </c>
      <c r="S57" s="36" t="s">
        <v>44</v>
      </c>
      <c r="T57" s="40">
        <f>IF(U53&lt;=term,IF(nonprofit,0,T56*taxrate),0)</f>
        <v>2720.9575776903548</v>
      </c>
      <c r="Z57" s="54" t="str">
        <f t="shared" si="20"/>
        <v>Y3</v>
      </c>
      <c r="AA57" s="36" t="s">
        <v>44</v>
      </c>
      <c r="AB57" s="40">
        <f>IF(AC53&lt;=term,IF(nonprofit,0,AB56*taxrate),0)</f>
        <v>1363.6227272727272</v>
      </c>
    </row>
    <row r="58" spans="1:29" x14ac:dyDescent="0.35">
      <c r="A58" s="7" t="s">
        <v>84</v>
      </c>
      <c r="B58" s="54" t="str">
        <f t="shared" si="17"/>
        <v>Y3</v>
      </c>
      <c r="C58" s="38" t="s">
        <v>45</v>
      </c>
      <c r="D58" s="50">
        <f>E58*(D51+D55-D57)</f>
        <v>41018.679906752011</v>
      </c>
      <c r="E58">
        <f>IF(E53&lt;=term,1,0)</f>
        <v>1</v>
      </c>
      <c r="J58" s="54" t="str">
        <f t="shared" si="18"/>
        <v>Y3</v>
      </c>
      <c r="K58" s="38" t="s">
        <v>45</v>
      </c>
      <c r="L58" s="50">
        <f>M58*(L51+VLOOKUP(J58,CHATTELYEARS,2,FALSE)-L57)</f>
        <v>47742.364322928988</v>
      </c>
      <c r="M58">
        <f>IF(M53&lt;=term,1,0)</f>
        <v>1</v>
      </c>
      <c r="R58" s="54" t="str">
        <f t="shared" si="19"/>
        <v>Y3</v>
      </c>
      <c r="S58" s="38" t="s">
        <v>45</v>
      </c>
      <c r="T58" s="50">
        <f>U58*(T51+VLOOKUP(R58,BankYears,2,FALSE)-T57)</f>
        <v>41120.089085369749</v>
      </c>
      <c r="U58">
        <f>IF(U53&lt;=term,1,0)</f>
        <v>1</v>
      </c>
      <c r="Z58" s="54" t="str">
        <f t="shared" si="20"/>
        <v>Y3</v>
      </c>
      <c r="AA58" s="38" t="s">
        <v>45</v>
      </c>
      <c r="AB58" s="86">
        <f>AC58*(AB51+AB27-AB57)</f>
        <v>95908.131818181821</v>
      </c>
      <c r="AC58">
        <f>IF(AC53&lt;=term,1,0)</f>
        <v>1</v>
      </c>
    </row>
    <row r="59" spans="1:29" x14ac:dyDescent="0.35">
      <c r="B59" s="54"/>
      <c r="C59" s="36"/>
      <c r="D59" s="40"/>
      <c r="E59"/>
      <c r="J59" s="54"/>
      <c r="K59" s="36"/>
      <c r="L59" s="40"/>
      <c r="R59" s="54"/>
      <c r="S59" s="36"/>
      <c r="T59" s="40"/>
      <c r="Z59" s="54"/>
      <c r="AA59" s="36"/>
      <c r="AB59" s="40"/>
    </row>
    <row r="60" spans="1:29" x14ac:dyDescent="0.35">
      <c r="B60" s="54" t="s">
        <v>24</v>
      </c>
      <c r="C60" s="55" t="s">
        <v>46</v>
      </c>
      <c r="D60" s="56">
        <v>0</v>
      </c>
      <c r="E60">
        <f>E53+12</f>
        <v>48</v>
      </c>
      <c r="J60" s="54" t="s">
        <v>24</v>
      </c>
      <c r="K60" s="55" t="s">
        <v>46</v>
      </c>
      <c r="L60" s="56">
        <f>VLOOKUP(J60,interest,4,FALSE)</f>
        <v>4992.7072519920148</v>
      </c>
      <c r="M60">
        <f>M53+12</f>
        <v>48</v>
      </c>
      <c r="R60" s="54" t="s">
        <v>24</v>
      </c>
      <c r="S60" s="55" t="s">
        <v>46</v>
      </c>
      <c r="T60" s="56">
        <f>VLOOKUP(R60,interest,5,FALSE)</f>
        <v>3247.0961756718007</v>
      </c>
      <c r="U60">
        <f>U53+12</f>
        <v>48</v>
      </c>
      <c r="Z60" s="54" t="s">
        <v>24</v>
      </c>
      <c r="AA60" s="55" t="s">
        <v>46</v>
      </c>
      <c r="AB60" s="56">
        <v>0</v>
      </c>
      <c r="AC60">
        <f>AC53+12</f>
        <v>48</v>
      </c>
    </row>
    <row r="61" spans="1:29" x14ac:dyDescent="0.35">
      <c r="B61" s="54" t="str">
        <f>B60</f>
        <v>Y4</v>
      </c>
      <c r="C61" s="51" t="s">
        <v>47</v>
      </c>
      <c r="D61" s="52">
        <v>0</v>
      </c>
      <c r="E61" s="47">
        <f>IF(revenueless2,0,depri)</f>
        <v>0.05</v>
      </c>
      <c r="J61" s="54" t="str">
        <f>J60</f>
        <v>Y4</v>
      </c>
      <c r="K61" s="51" t="s">
        <v>47</v>
      </c>
      <c r="L61" s="56">
        <f>IF(M60&lt;=term,value*M61,0)</f>
        <v>4999.9500000000007</v>
      </c>
      <c r="M61" s="47">
        <f>IF(revenueless2,0,depri)</f>
        <v>0.05</v>
      </c>
      <c r="R61" s="54" t="str">
        <f>R60</f>
        <v>Y4</v>
      </c>
      <c r="S61" s="51" t="s">
        <v>47</v>
      </c>
      <c r="T61" s="56">
        <f>IF(U60&lt;=term,value*U61,0)</f>
        <v>4999.9500000000007</v>
      </c>
      <c r="U61" s="47">
        <f>IF(revenueless2,0,depri)</f>
        <v>0.05</v>
      </c>
      <c r="Z61" s="54" t="str">
        <f>Z60</f>
        <v>Y4</v>
      </c>
      <c r="AA61" s="51" t="s">
        <v>47</v>
      </c>
      <c r="AB61" s="52">
        <f>IF(AC60&lt;=term,value/1.1*AC61,0)</f>
        <v>4545.409090909091</v>
      </c>
      <c r="AC61" s="47">
        <f>IF(revenueless2,0,depri)</f>
        <v>0.05</v>
      </c>
    </row>
    <row r="62" spans="1:29" x14ac:dyDescent="0.35">
      <c r="B62" s="54" t="str">
        <f t="shared" ref="B62:B65" si="23">B61</f>
        <v>Y4</v>
      </c>
      <c r="C62" s="53" t="s">
        <v>48</v>
      </c>
      <c r="D62" s="49">
        <f>VLOOKUP(B62,rentaltable,2,FALSE)</f>
        <v>19532.704717500957</v>
      </c>
      <c r="E62"/>
      <c r="J62" s="54" t="str">
        <f t="shared" ref="J62:J65" si="24">J61</f>
        <v>Y4</v>
      </c>
      <c r="K62" s="53" t="s">
        <v>48</v>
      </c>
      <c r="L62" s="49">
        <v>0</v>
      </c>
      <c r="R62" s="54" t="str">
        <f t="shared" ref="R62:R65" si="25">R61</f>
        <v>Y4</v>
      </c>
      <c r="S62" s="53" t="s">
        <v>48</v>
      </c>
      <c r="T62" s="49">
        <v>0</v>
      </c>
      <c r="Z62" s="54" t="str">
        <f t="shared" ref="Z62:Z65" si="26">Z61</f>
        <v>Y4</v>
      </c>
      <c r="AA62" s="53" t="s">
        <v>48</v>
      </c>
      <c r="AB62" s="49">
        <v>0</v>
      </c>
    </row>
    <row r="63" spans="1:29" x14ac:dyDescent="0.35">
      <c r="B63" s="54" t="str">
        <f t="shared" si="23"/>
        <v>Y4</v>
      </c>
      <c r="C63" s="38" t="s">
        <v>49</v>
      </c>
      <c r="D63" s="50">
        <f>SUM(D60:D62)</f>
        <v>19532.704717500957</v>
      </c>
      <c r="E63"/>
      <c r="J63" s="54" t="str">
        <f t="shared" si="24"/>
        <v>Y4</v>
      </c>
      <c r="K63" s="38" t="s">
        <v>49</v>
      </c>
      <c r="L63" s="50">
        <f t="shared" ref="L63" si="27">SUM(L60:L62)</f>
        <v>9992.6572519920155</v>
      </c>
      <c r="R63" s="54" t="str">
        <f t="shared" si="25"/>
        <v>Y4</v>
      </c>
      <c r="S63" s="38" t="s">
        <v>49</v>
      </c>
      <c r="T63" s="50">
        <f t="shared" ref="T63" si="28">SUM(T60:T62)</f>
        <v>8247.0461756718014</v>
      </c>
      <c r="Z63" s="54" t="str">
        <f t="shared" si="26"/>
        <v>Y4</v>
      </c>
      <c r="AA63" s="38" t="s">
        <v>49</v>
      </c>
      <c r="AB63" s="50">
        <f>SUM(AB60:AB62)</f>
        <v>4545.409090909091</v>
      </c>
    </row>
    <row r="64" spans="1:29" x14ac:dyDescent="0.35">
      <c r="B64" s="54" t="str">
        <f t="shared" si="23"/>
        <v>Y4</v>
      </c>
      <c r="C64" s="36" t="s">
        <v>50</v>
      </c>
      <c r="D64" s="40">
        <f>IF(E60&lt;=term,IF(nonprofit,0,D63*taxrate),0)</f>
        <v>5859.8114152502867</v>
      </c>
      <c r="E64"/>
      <c r="J64" s="54" t="str">
        <f t="shared" si="24"/>
        <v>Y4</v>
      </c>
      <c r="K64" s="36" t="s">
        <v>50</v>
      </c>
      <c r="L64" s="40">
        <f>IF(M60&lt;=term,IF(nonprofit,0,L63*taxrate),0)</f>
        <v>2997.7971755976046</v>
      </c>
      <c r="R64" s="54" t="str">
        <f t="shared" si="25"/>
        <v>Y4</v>
      </c>
      <c r="S64" s="36" t="s">
        <v>50</v>
      </c>
      <c r="T64" s="40">
        <f>IF(U60&lt;=term,IF(nonprofit,0,T63*taxrate),0)</f>
        <v>2474.1138527015405</v>
      </c>
      <c r="Z64" s="54" t="str">
        <f t="shared" si="26"/>
        <v>Y4</v>
      </c>
      <c r="AA64" s="36" t="s">
        <v>50</v>
      </c>
      <c r="AB64" s="40">
        <f>IF(AC60&lt;=term,IF(nonprofit,0,AB63*taxrate),0)</f>
        <v>1363.6227272727272</v>
      </c>
    </row>
    <row r="65" spans="1:29" x14ac:dyDescent="0.35">
      <c r="A65" s="7" t="s">
        <v>85</v>
      </c>
      <c r="B65" s="54" t="str">
        <f t="shared" si="23"/>
        <v>Y4</v>
      </c>
      <c r="C65" s="38" t="s">
        <v>51</v>
      </c>
      <c r="D65" s="86">
        <f>E65*(D58+D62-D64)</f>
        <v>54691.57320900268</v>
      </c>
      <c r="E65">
        <f>IF(E60&lt;=term,1,0)</f>
        <v>1</v>
      </c>
      <c r="J65" s="54" t="str">
        <f t="shared" si="24"/>
        <v>Y4</v>
      </c>
      <c r="K65" s="38" t="s">
        <v>51</v>
      </c>
      <c r="L65" s="50">
        <f>M65*(L58+VLOOKUP(J65,CHATTELYEARS,2,FALSE)-L64)</f>
        <v>67663.578861228147</v>
      </c>
      <c r="M65">
        <f>IF(M60&lt;=term,1,0)</f>
        <v>1</v>
      </c>
      <c r="R65" s="54" t="str">
        <f t="shared" si="25"/>
        <v>Y4</v>
      </c>
      <c r="S65" s="38" t="s">
        <v>51</v>
      </c>
      <c r="T65" s="86">
        <f>U65*(T58+VLOOKUP(R65,BankYears,2,FALSE)-T64)</f>
        <v>58635.229928408997</v>
      </c>
      <c r="U65">
        <f>IF(U60&lt;=term,1,0)</f>
        <v>1</v>
      </c>
      <c r="Z65" s="54" t="str">
        <f t="shared" si="26"/>
        <v>Y4</v>
      </c>
      <c r="AA65" s="38" t="s">
        <v>51</v>
      </c>
      <c r="AB65" s="86">
        <f>AC65*(AB58+AB34-AB64)</f>
        <v>94544.509090909094</v>
      </c>
      <c r="AC65">
        <f>IF(AC60&lt;=term,1,0)</f>
        <v>1</v>
      </c>
    </row>
    <row r="66" spans="1:29" x14ac:dyDescent="0.35">
      <c r="B66" s="54"/>
      <c r="C66" s="36"/>
      <c r="D66" s="40"/>
      <c r="E66"/>
      <c r="J66" s="54"/>
      <c r="K66" s="36"/>
      <c r="L66" s="40"/>
      <c r="R66" s="54"/>
      <c r="S66" s="36"/>
      <c r="T66" s="40"/>
      <c r="Z66" s="54"/>
      <c r="AA66" s="36"/>
      <c r="AB66" s="40"/>
    </row>
    <row r="67" spans="1:29" x14ac:dyDescent="0.35">
      <c r="B67" s="54" t="s">
        <v>25</v>
      </c>
      <c r="C67" s="55" t="s">
        <v>52</v>
      </c>
      <c r="D67" s="56">
        <v>0</v>
      </c>
      <c r="E67">
        <f>E60+12</f>
        <v>60</v>
      </c>
      <c r="J67" s="54" t="s">
        <v>25</v>
      </c>
      <c r="K67" s="55" t="s">
        <v>52</v>
      </c>
      <c r="L67" s="56">
        <f>VLOOKUP(J67,interest,4,FALSE)</f>
        <v>3697.8353318701193</v>
      </c>
      <c r="M67">
        <f>M60+12</f>
        <v>60</v>
      </c>
      <c r="R67" s="54" t="s">
        <v>25</v>
      </c>
      <c r="S67" s="55" t="s">
        <v>52</v>
      </c>
      <c r="T67" s="56">
        <f>VLOOKUP(R67,interest,5,FALSE)</f>
        <v>2374.4033089188979</v>
      </c>
      <c r="U67">
        <f>U60+12</f>
        <v>60</v>
      </c>
      <c r="Z67" s="54" t="s">
        <v>25</v>
      </c>
      <c r="AA67" s="55" t="s">
        <v>52</v>
      </c>
      <c r="AB67" s="56">
        <v>0</v>
      </c>
      <c r="AC67">
        <f>AC60+12</f>
        <v>60</v>
      </c>
    </row>
    <row r="68" spans="1:29" x14ac:dyDescent="0.35">
      <c r="B68" s="18" t="str">
        <f>B67</f>
        <v>Y5</v>
      </c>
      <c r="C68" s="51" t="s">
        <v>53</v>
      </c>
      <c r="D68" s="52">
        <v>0</v>
      </c>
      <c r="E68" s="47">
        <f>IF(revenueless2,0,depri)</f>
        <v>0.05</v>
      </c>
      <c r="J68" s="18" t="str">
        <f>J67</f>
        <v>Y5</v>
      </c>
      <c r="K68" s="51" t="s">
        <v>53</v>
      </c>
      <c r="L68" s="56">
        <f>IF(M67&lt;=term,value*M68,0)</f>
        <v>4999.9500000000007</v>
      </c>
      <c r="M68" s="47">
        <f>IF(revenueless2,0,depri)</f>
        <v>0.05</v>
      </c>
      <c r="R68" s="18" t="str">
        <f>R67</f>
        <v>Y5</v>
      </c>
      <c r="S68" s="51" t="s">
        <v>53</v>
      </c>
      <c r="T68" s="56">
        <f>IF(U67&lt;=term,value*U68,0)</f>
        <v>4999.9500000000007</v>
      </c>
      <c r="U68" s="47">
        <f>IF(revenueless2,0,depri)</f>
        <v>0.05</v>
      </c>
      <c r="Z68" s="18" t="str">
        <f>Z67</f>
        <v>Y5</v>
      </c>
      <c r="AA68" s="51" t="s">
        <v>53</v>
      </c>
      <c r="AB68" s="52">
        <f>IF(AC67&lt;=term,value/1.1*AC68,0)</f>
        <v>4545.409090909091</v>
      </c>
      <c r="AC68" s="47">
        <f>IF(revenueless2,0,depri)</f>
        <v>0.05</v>
      </c>
    </row>
    <row r="69" spans="1:29" x14ac:dyDescent="0.35">
      <c r="B69" s="18" t="str">
        <f t="shared" ref="B69:B72" si="29">B68</f>
        <v>Y5</v>
      </c>
      <c r="C69" s="53" t="s">
        <v>54</v>
      </c>
      <c r="D69" s="49">
        <f>VLOOKUP(B69,rentaltable,2,FALSE)</f>
        <v>19532.704717500957</v>
      </c>
      <c r="E69"/>
      <c r="J69" s="18" t="str">
        <f t="shared" ref="J69:J72" si="30">J68</f>
        <v>Y5</v>
      </c>
      <c r="K69" s="53" t="s">
        <v>54</v>
      </c>
      <c r="L69" s="49">
        <v>0</v>
      </c>
      <c r="R69" s="18" t="str">
        <f t="shared" ref="R69:R72" si="31">R68</f>
        <v>Y5</v>
      </c>
      <c r="S69" s="53" t="s">
        <v>54</v>
      </c>
      <c r="T69" s="49">
        <v>0</v>
      </c>
      <c r="Z69" s="18" t="str">
        <f t="shared" ref="Z69:Z72" si="32">Z68</f>
        <v>Y5</v>
      </c>
      <c r="AA69" s="53" t="s">
        <v>54</v>
      </c>
      <c r="AB69" s="49">
        <v>0</v>
      </c>
    </row>
    <row r="70" spans="1:29" x14ac:dyDescent="0.35">
      <c r="B70" s="18" t="str">
        <f t="shared" si="29"/>
        <v>Y5</v>
      </c>
      <c r="C70" s="38" t="s">
        <v>55</v>
      </c>
      <c r="D70" s="50">
        <f>SUM(D67:D69)</f>
        <v>19532.704717500957</v>
      </c>
      <c r="E70"/>
      <c r="J70" s="18" t="str">
        <f t="shared" si="30"/>
        <v>Y5</v>
      </c>
      <c r="K70" s="38" t="s">
        <v>55</v>
      </c>
      <c r="L70" s="50">
        <f t="shared" ref="L70" si="33">SUM(L67:L69)</f>
        <v>8697.78533187012</v>
      </c>
      <c r="R70" s="18" t="str">
        <f t="shared" si="31"/>
        <v>Y5</v>
      </c>
      <c r="S70" s="38" t="s">
        <v>55</v>
      </c>
      <c r="T70" s="50">
        <f t="shared" ref="T70" si="34">SUM(T67:T69)</f>
        <v>7374.3533089188986</v>
      </c>
      <c r="Z70" s="18" t="str">
        <f t="shared" si="32"/>
        <v>Y5</v>
      </c>
      <c r="AA70" s="38" t="s">
        <v>55</v>
      </c>
      <c r="AB70" s="50">
        <f>SUM(AB67:AB69)</f>
        <v>4545.409090909091</v>
      </c>
    </row>
    <row r="71" spans="1:29" x14ac:dyDescent="0.35">
      <c r="B71" s="18" t="str">
        <f t="shared" si="29"/>
        <v>Y5</v>
      </c>
      <c r="C71" s="36" t="s">
        <v>56</v>
      </c>
      <c r="D71" s="40">
        <f>IF(E67&lt;=term,IF(nonprofit,0,D70*taxrate),0)</f>
        <v>5859.8114152502867</v>
      </c>
      <c r="E71"/>
      <c r="J71" s="18" t="str">
        <f t="shared" si="30"/>
        <v>Y5</v>
      </c>
      <c r="K71" s="36" t="s">
        <v>56</v>
      </c>
      <c r="L71" s="40">
        <f>IF(M67&lt;=term,IF(nonprofit,0,L70*taxrate),0)</f>
        <v>2609.3355995610359</v>
      </c>
      <c r="R71" s="18" t="str">
        <f t="shared" si="31"/>
        <v>Y5</v>
      </c>
      <c r="S71" s="36" t="s">
        <v>56</v>
      </c>
      <c r="T71" s="40">
        <f>IF(U67&lt;=term,IF(nonprofit,0,T70*taxrate),0)</f>
        <v>2212.3059926756696</v>
      </c>
      <c r="Z71" s="18" t="str">
        <f t="shared" si="32"/>
        <v>Y5</v>
      </c>
      <c r="AA71" s="36" t="s">
        <v>56</v>
      </c>
      <c r="AB71" s="40">
        <f>IF(AC67&lt;=term,IF(nonprofit,0,AB70*taxrate),0)</f>
        <v>1363.6227272727272</v>
      </c>
    </row>
    <row r="72" spans="1:29" x14ac:dyDescent="0.35">
      <c r="A72" s="7" t="s">
        <v>119</v>
      </c>
      <c r="B72" s="18" t="str">
        <f t="shared" si="29"/>
        <v>Y5</v>
      </c>
      <c r="C72" s="38" t="s">
        <v>57</v>
      </c>
      <c r="D72" s="50">
        <f>E72*(D65+D69-D71)</f>
        <v>68364.466511253355</v>
      </c>
      <c r="E72">
        <f>IF(E67&lt;=term,1,0)</f>
        <v>1</v>
      </c>
      <c r="J72" s="18" t="str">
        <f t="shared" si="30"/>
        <v>Y5</v>
      </c>
      <c r="K72" s="38" t="s">
        <v>57</v>
      </c>
      <c r="L72" s="50">
        <f>M72*(L65+VLOOKUP(J72,CHATTELYEARS,2,FALSE)-L71)</f>
        <v>87973.254975563876</v>
      </c>
      <c r="M72">
        <f>IF(M67&lt;=term,1,0)</f>
        <v>1</v>
      </c>
      <c r="R72" s="18" t="str">
        <f t="shared" si="31"/>
        <v>Y5</v>
      </c>
      <c r="S72" s="38" t="s">
        <v>57</v>
      </c>
      <c r="T72" s="50">
        <f>U72*(T65+VLOOKUP(R72,BankYears,2,FALSE)-T71)</f>
        <v>76412.178631474118</v>
      </c>
      <c r="U72">
        <f>IF(U67&lt;=term,1,0)</f>
        <v>1</v>
      </c>
      <c r="Z72" s="18" t="str">
        <f t="shared" si="32"/>
        <v>Y5</v>
      </c>
      <c r="AA72" s="38" t="s">
        <v>57</v>
      </c>
      <c r="AB72" s="86">
        <f>AC72*(AB65+AB41-AB71)</f>
        <v>93180.886363636368</v>
      </c>
      <c r="AC72">
        <f>IF(AC67&lt;=term,1,0)</f>
        <v>1</v>
      </c>
    </row>
    <row r="73" spans="1:29" x14ac:dyDescent="0.35">
      <c r="B73" s="18"/>
      <c r="C73" s="36"/>
      <c r="D73" s="40"/>
      <c r="E73"/>
      <c r="J73" s="18"/>
      <c r="K73" s="36"/>
      <c r="L73" s="40"/>
      <c r="R73" s="18"/>
      <c r="S73" s="36"/>
      <c r="T73" s="40"/>
      <c r="Z73" s="18"/>
      <c r="AA73" s="36"/>
      <c r="AB73" s="40"/>
    </row>
    <row r="74" spans="1:29" x14ac:dyDescent="0.35">
      <c r="B74" s="54" t="s">
        <v>70</v>
      </c>
      <c r="C74" s="55" t="s">
        <v>86</v>
      </c>
      <c r="D74" s="56">
        <v>0</v>
      </c>
      <c r="E74">
        <f>E67+12</f>
        <v>72</v>
      </c>
      <c r="J74" s="54" t="s">
        <v>70</v>
      </c>
      <c r="K74" s="55" t="s">
        <v>86</v>
      </c>
      <c r="L74" s="56">
        <f>VLOOKUP(J74,interest,4,FALSE)</f>
        <v>2285.707132151736</v>
      </c>
      <c r="M74">
        <f>M67+12</f>
        <v>72</v>
      </c>
      <c r="R74" s="54" t="s">
        <v>70</v>
      </c>
      <c r="S74" s="55" t="s">
        <v>86</v>
      </c>
      <c r="T74" s="56">
        <f>VLOOKUP(R74,interest,5,FALSE)</f>
        <v>1448.8061444992982</v>
      </c>
      <c r="U74">
        <f>U67+12</f>
        <v>72</v>
      </c>
      <c r="Z74" s="54" t="s">
        <v>70</v>
      </c>
      <c r="AA74" s="55" t="s">
        <v>86</v>
      </c>
      <c r="AB74" s="56">
        <v>0</v>
      </c>
      <c r="AC74">
        <f>AC67+12</f>
        <v>72</v>
      </c>
    </row>
    <row r="75" spans="1:29" x14ac:dyDescent="0.35">
      <c r="B75" s="54" t="str">
        <f>B74</f>
        <v>Y6</v>
      </c>
      <c r="C75" s="51" t="s">
        <v>87</v>
      </c>
      <c r="D75" s="52">
        <v>0</v>
      </c>
      <c r="E75" s="47">
        <f>IF(revenueless2,0,depri)</f>
        <v>0.05</v>
      </c>
      <c r="J75" s="54" t="str">
        <f>J74</f>
        <v>Y6</v>
      </c>
      <c r="K75" s="51" t="s">
        <v>87</v>
      </c>
      <c r="L75" s="56">
        <f>IF(M74&lt;=term,value*M75,0)</f>
        <v>4999.9500000000007</v>
      </c>
      <c r="M75" s="47">
        <f>IF(revenueless2,0,depri)</f>
        <v>0.05</v>
      </c>
      <c r="R75" s="54" t="str">
        <f>R74</f>
        <v>Y6</v>
      </c>
      <c r="S75" s="51" t="s">
        <v>87</v>
      </c>
      <c r="T75" s="56">
        <f>IF(U74&lt;=term,value*U75,0)</f>
        <v>4999.9500000000007</v>
      </c>
      <c r="U75" s="90">
        <f>IF(revenueless2,0,depri)</f>
        <v>0.05</v>
      </c>
      <c r="Z75" s="54" t="str">
        <f>Z74</f>
        <v>Y6</v>
      </c>
      <c r="AA75" s="51" t="s">
        <v>87</v>
      </c>
      <c r="AB75" s="52">
        <f>IF(AC74&lt;=term,value/1.1*AC75,0)</f>
        <v>4545.409090909091</v>
      </c>
      <c r="AC75" s="47">
        <f>IF(revenueless2,0,depri)</f>
        <v>0.05</v>
      </c>
    </row>
    <row r="76" spans="1:29" x14ac:dyDescent="0.35">
      <c r="B76" s="54" t="str">
        <f t="shared" ref="B76:B79" si="35">B75</f>
        <v>Y6</v>
      </c>
      <c r="C76" s="53" t="s">
        <v>88</v>
      </c>
      <c r="D76" s="49">
        <f>VLOOKUP(B76,rentaltable,2,FALSE)</f>
        <v>19532.704717500957</v>
      </c>
      <c r="E76"/>
      <c r="J76" s="54" t="str">
        <f t="shared" ref="J76:J79" si="36">J75</f>
        <v>Y6</v>
      </c>
      <c r="K76" s="53" t="s">
        <v>88</v>
      </c>
      <c r="L76" s="49">
        <v>0</v>
      </c>
      <c r="R76" s="54" t="str">
        <f t="shared" ref="R76:R79" si="37">R75</f>
        <v>Y6</v>
      </c>
      <c r="S76" s="53" t="s">
        <v>88</v>
      </c>
      <c r="T76" s="49">
        <v>0</v>
      </c>
      <c r="Z76" s="54" t="str">
        <f t="shared" ref="Z76:Z79" si="38">Z75</f>
        <v>Y6</v>
      </c>
      <c r="AA76" s="53" t="s">
        <v>88</v>
      </c>
      <c r="AB76" s="49">
        <v>0</v>
      </c>
    </row>
    <row r="77" spans="1:29" x14ac:dyDescent="0.35">
      <c r="B77" s="54" t="str">
        <f t="shared" si="35"/>
        <v>Y6</v>
      </c>
      <c r="C77" s="38" t="s">
        <v>89</v>
      </c>
      <c r="D77" s="50">
        <f>SUM(D74:D76)</f>
        <v>19532.704717500957</v>
      </c>
      <c r="E77"/>
      <c r="J77" s="54" t="str">
        <f t="shared" si="36"/>
        <v>Y6</v>
      </c>
      <c r="K77" s="38" t="s">
        <v>89</v>
      </c>
      <c r="L77" s="50">
        <f t="shared" ref="L77" si="39">SUM(L74:L76)</f>
        <v>7285.6571321517367</v>
      </c>
      <c r="R77" s="54" t="str">
        <f t="shared" si="37"/>
        <v>Y6</v>
      </c>
      <c r="S77" s="38" t="s">
        <v>89</v>
      </c>
      <c r="T77" s="50">
        <f t="shared" ref="T77" si="40">SUM(T74:T76)</f>
        <v>6448.7561444992989</v>
      </c>
      <c r="Z77" s="54" t="str">
        <f t="shared" si="38"/>
        <v>Y6</v>
      </c>
      <c r="AA77" s="38" t="s">
        <v>89</v>
      </c>
      <c r="AB77" s="50">
        <f>SUM(AB74:AB76)</f>
        <v>4545.409090909091</v>
      </c>
    </row>
    <row r="78" spans="1:29" x14ac:dyDescent="0.35">
      <c r="B78" s="54" t="str">
        <f t="shared" si="35"/>
        <v>Y6</v>
      </c>
      <c r="C78" s="36" t="s">
        <v>90</v>
      </c>
      <c r="D78" s="40">
        <f>IF(E74&lt;=term,IF(nonprofit,0,D77*taxrate),0)</f>
        <v>5859.8114152502867</v>
      </c>
      <c r="E78"/>
      <c r="J78" s="54" t="str">
        <f t="shared" si="36"/>
        <v>Y6</v>
      </c>
      <c r="K78" s="36" t="s">
        <v>90</v>
      </c>
      <c r="L78" s="40">
        <f>IF(M74&lt;=term,IF(nonprofit,0,L77*taxrate),0)</f>
        <v>2185.697139645521</v>
      </c>
      <c r="R78" s="54" t="str">
        <f t="shared" si="37"/>
        <v>Y6</v>
      </c>
      <c r="S78" s="36" t="s">
        <v>90</v>
      </c>
      <c r="T78" s="40">
        <f>IF(U74&lt;=term,IF(nonprofit,0,T77*taxrate),0)</f>
        <v>1934.6268433497896</v>
      </c>
      <c r="Z78" s="54" t="str">
        <f t="shared" si="38"/>
        <v>Y6</v>
      </c>
      <c r="AA78" s="36" t="s">
        <v>90</v>
      </c>
      <c r="AB78" s="40">
        <f>IF(AC74&lt;=term,IF(nonprofit,0,AB77*taxrate),0)</f>
        <v>1363.6227272727272</v>
      </c>
    </row>
    <row r="79" spans="1:29" x14ac:dyDescent="0.35">
      <c r="A79" s="7" t="s">
        <v>120</v>
      </c>
      <c r="B79" s="54" t="str">
        <f t="shared" si="35"/>
        <v>Y6</v>
      </c>
      <c r="C79" s="38" t="s">
        <v>91</v>
      </c>
      <c r="D79" s="50">
        <f>E79*(D72+D76-D78)</f>
        <v>82037.359813504023</v>
      </c>
      <c r="E79">
        <f>IF(E74&lt;=term,1,0)</f>
        <v>1</v>
      </c>
      <c r="J79" s="54" t="str">
        <f t="shared" si="36"/>
        <v>Y6</v>
      </c>
      <c r="K79" s="38" t="s">
        <v>91</v>
      </c>
      <c r="L79" s="50">
        <f>M79*(L72+VLOOKUP(J79,CHATTELYEARS,2,FALSE)-L78)</f>
        <v>108706.56954981512</v>
      </c>
      <c r="M79">
        <f>IF(M74&lt;=term,1,0)</f>
        <v>1</v>
      </c>
      <c r="R79" s="54" t="str">
        <f t="shared" si="37"/>
        <v>Y6</v>
      </c>
      <c r="S79" s="38" t="s">
        <v>91</v>
      </c>
      <c r="T79" s="50">
        <f>U79*(T72+VLOOKUP(R79,BankYears,2,FALSE)-T78)</f>
        <v>94466.806483865119</v>
      </c>
      <c r="U79">
        <f>IF(U74&lt;=term,1,0)</f>
        <v>1</v>
      </c>
      <c r="Z79" s="54" t="str">
        <f t="shared" si="38"/>
        <v>Y6</v>
      </c>
      <c r="AA79" s="38" t="s">
        <v>91</v>
      </c>
      <c r="AB79" s="86">
        <f>AC79*(AB72+AB48-AB78)</f>
        <v>91817.263636363641</v>
      </c>
      <c r="AC79">
        <f>IF(AC74&lt;=term,1,0)</f>
        <v>1</v>
      </c>
    </row>
    <row r="80" spans="1:29" x14ac:dyDescent="0.35">
      <c r="B80" s="54"/>
      <c r="C80" s="36"/>
      <c r="D80" s="40"/>
      <c r="E80"/>
      <c r="J80" s="54"/>
      <c r="K80" s="36"/>
      <c r="L80" s="40"/>
      <c r="R80" s="54"/>
      <c r="S80" s="36"/>
      <c r="T80" s="40"/>
      <c r="Z80" s="54"/>
      <c r="AA80" s="36"/>
      <c r="AB80" s="40"/>
    </row>
    <row r="81" spans="1:29" x14ac:dyDescent="0.35">
      <c r="B81" s="54" t="s">
        <v>71</v>
      </c>
      <c r="C81" s="55" t="s">
        <v>110</v>
      </c>
      <c r="D81" s="56">
        <v>0</v>
      </c>
      <c r="E81">
        <f>E74+12</f>
        <v>84</v>
      </c>
      <c r="J81" s="54" t="s">
        <v>71</v>
      </c>
      <c r="K81" s="55" t="s">
        <v>110</v>
      </c>
      <c r="L81" s="56">
        <f>VLOOKUP(J81,interest,4,FALSE)</f>
        <v>0</v>
      </c>
      <c r="M81">
        <f>M74+12</f>
        <v>84</v>
      </c>
      <c r="R81" s="54" t="s">
        <v>71</v>
      </c>
      <c r="S81" s="55" t="s">
        <v>110</v>
      </c>
      <c r="T81" s="56">
        <f>VLOOKUP(R81,interest,5,FALSE)</f>
        <v>0</v>
      </c>
      <c r="U81">
        <f>U74+12</f>
        <v>84</v>
      </c>
      <c r="Z81" s="54" t="s">
        <v>71</v>
      </c>
      <c r="AA81" s="55" t="s">
        <v>110</v>
      </c>
      <c r="AB81" s="56">
        <v>0</v>
      </c>
      <c r="AC81">
        <f>AC74+12</f>
        <v>84</v>
      </c>
    </row>
    <row r="82" spans="1:29" x14ac:dyDescent="0.35">
      <c r="B82" s="54" t="str">
        <f>B81</f>
        <v>Y7</v>
      </c>
      <c r="C82" s="51" t="s">
        <v>111</v>
      </c>
      <c r="D82" s="52">
        <v>0</v>
      </c>
      <c r="E82" s="47">
        <f>IF(revenueless2,0,depri)</f>
        <v>0.05</v>
      </c>
      <c r="J82" s="54" t="str">
        <f>J81</f>
        <v>Y7</v>
      </c>
      <c r="K82" s="51" t="s">
        <v>111</v>
      </c>
      <c r="L82" s="56">
        <f>IF(M81&lt;=term,value*M82,0)</f>
        <v>0</v>
      </c>
      <c r="M82" s="47">
        <f>IF(revenueless2,0,depri)</f>
        <v>0.05</v>
      </c>
      <c r="R82" s="54" t="str">
        <f>R81</f>
        <v>Y7</v>
      </c>
      <c r="S82" s="51" t="s">
        <v>111</v>
      </c>
      <c r="T82" s="56">
        <f>IF(U81&lt;=term,value*U82,0)</f>
        <v>0</v>
      </c>
      <c r="U82" s="90">
        <f>IF(revenueless2,0,depri)</f>
        <v>0.05</v>
      </c>
      <c r="Z82" s="54" t="str">
        <f>Z81</f>
        <v>Y7</v>
      </c>
      <c r="AA82" s="51" t="s">
        <v>111</v>
      </c>
      <c r="AB82" s="52">
        <f>IF(AC81&lt;=term,value/1.1*AC82,0)</f>
        <v>0</v>
      </c>
      <c r="AC82" s="47">
        <f>IF(revenueless2,0,depri)</f>
        <v>0.05</v>
      </c>
    </row>
    <row r="83" spans="1:29" x14ac:dyDescent="0.35">
      <c r="B83" s="54" t="str">
        <f t="shared" ref="B83:B86" si="41">B82</f>
        <v>Y7</v>
      </c>
      <c r="C83" s="53" t="s">
        <v>112</v>
      </c>
      <c r="D83" s="49">
        <f>VLOOKUP(B83,rentaltable,2,FALSE)</f>
        <v>0</v>
      </c>
      <c r="E83"/>
      <c r="J83" s="54" t="str">
        <f t="shared" ref="J83:J86" si="42">J82</f>
        <v>Y7</v>
      </c>
      <c r="K83" s="53" t="s">
        <v>112</v>
      </c>
      <c r="L83" s="49">
        <v>0</v>
      </c>
      <c r="R83" s="54" t="str">
        <f t="shared" ref="R83:R86" si="43">R82</f>
        <v>Y7</v>
      </c>
      <c r="S83" s="53" t="s">
        <v>112</v>
      </c>
      <c r="T83" s="49">
        <v>0</v>
      </c>
      <c r="Z83" s="54" t="str">
        <f t="shared" ref="Z83:Z86" si="44">Z82</f>
        <v>Y7</v>
      </c>
      <c r="AA83" s="53" t="s">
        <v>112</v>
      </c>
      <c r="AB83" s="49">
        <v>0</v>
      </c>
    </row>
    <row r="84" spans="1:29" x14ac:dyDescent="0.35">
      <c r="B84" s="54" t="str">
        <f t="shared" si="41"/>
        <v>Y7</v>
      </c>
      <c r="C84" s="38" t="s">
        <v>113</v>
      </c>
      <c r="D84" s="50">
        <f>SUM(D81:D83)</f>
        <v>0</v>
      </c>
      <c r="E84"/>
      <c r="J84" s="54" t="str">
        <f t="shared" si="42"/>
        <v>Y7</v>
      </c>
      <c r="K84" s="38" t="s">
        <v>113</v>
      </c>
      <c r="L84" s="50">
        <f t="shared" ref="L84" si="45">SUM(L81:L83)</f>
        <v>0</v>
      </c>
      <c r="R84" s="54" t="str">
        <f t="shared" si="43"/>
        <v>Y7</v>
      </c>
      <c r="S84" s="38" t="s">
        <v>113</v>
      </c>
      <c r="T84" s="50">
        <f t="shared" ref="T84" si="46">SUM(T81:T83)</f>
        <v>0</v>
      </c>
      <c r="Z84" s="54" t="str">
        <f t="shared" si="44"/>
        <v>Y7</v>
      </c>
      <c r="AA84" s="38" t="s">
        <v>113</v>
      </c>
      <c r="AB84" s="50">
        <f>SUM(AB81:AB83)</f>
        <v>0</v>
      </c>
    </row>
    <row r="85" spans="1:29" x14ac:dyDescent="0.35">
      <c r="B85" s="54" t="str">
        <f t="shared" si="41"/>
        <v>Y7</v>
      </c>
      <c r="C85" s="36" t="s">
        <v>114</v>
      </c>
      <c r="D85" s="40">
        <f>IF(E81&lt;=term,IF(nonprofit,0,D84*taxrate),0)</f>
        <v>0</v>
      </c>
      <c r="E85"/>
      <c r="J85" s="54" t="str">
        <f t="shared" si="42"/>
        <v>Y7</v>
      </c>
      <c r="K85" s="36" t="s">
        <v>114</v>
      </c>
      <c r="L85" s="40">
        <f>IF(M81&lt;=term,IF(nonprofit,0,L84*taxrate),0)</f>
        <v>0</v>
      </c>
      <c r="R85" s="54" t="str">
        <f t="shared" si="43"/>
        <v>Y7</v>
      </c>
      <c r="S85" s="36" t="s">
        <v>114</v>
      </c>
      <c r="T85" s="40">
        <f>IF(U81&lt;=term,IF(nonprofit,0,T84*taxrate),0)</f>
        <v>0</v>
      </c>
      <c r="Z85" s="54" t="str">
        <f t="shared" si="44"/>
        <v>Y7</v>
      </c>
      <c r="AA85" s="36" t="s">
        <v>114</v>
      </c>
      <c r="AB85" s="40">
        <f>IF(AC81&lt;=term,IF(nonprofit,0,AB84*taxrate),0)</f>
        <v>0</v>
      </c>
    </row>
    <row r="86" spans="1:29" x14ac:dyDescent="0.35">
      <c r="A86" s="7" t="s">
        <v>121</v>
      </c>
      <c r="B86" s="54" t="str">
        <f t="shared" si="41"/>
        <v>Y7</v>
      </c>
      <c r="C86" s="38" t="s">
        <v>115</v>
      </c>
      <c r="D86" s="50">
        <f>E86*(D79+D83-D85)</f>
        <v>0</v>
      </c>
      <c r="E86">
        <f>IF(E81&lt;=term,1,0)</f>
        <v>0</v>
      </c>
      <c r="J86" s="54" t="str">
        <f t="shared" si="42"/>
        <v>Y7</v>
      </c>
      <c r="K86" s="38" t="s">
        <v>115</v>
      </c>
      <c r="L86" s="50">
        <f>M86*(L79+VLOOKUP(J86,CHATTELYEARS,2,FALSE)-L85)</f>
        <v>0</v>
      </c>
      <c r="M86">
        <f>IF(M81&lt;=term,1,0)</f>
        <v>0</v>
      </c>
      <c r="R86" s="54" t="str">
        <f t="shared" si="43"/>
        <v>Y7</v>
      </c>
      <c r="S86" s="38" t="s">
        <v>115</v>
      </c>
      <c r="T86" s="50">
        <f>U86*(T79+VLOOKUP(R86,BankYears,2,FALSE)-T85)</f>
        <v>0</v>
      </c>
      <c r="U86">
        <f>IF(U81&lt;=term,1,0)</f>
        <v>0</v>
      </c>
      <c r="Z86" s="54" t="str">
        <f t="shared" si="44"/>
        <v>Y7</v>
      </c>
      <c r="AA86" s="38" t="s">
        <v>115</v>
      </c>
      <c r="AB86" s="86">
        <f>AC86*(AB79+AB55-AB85)</f>
        <v>0</v>
      </c>
      <c r="AC86">
        <f>IF(AC81&lt;=term,1,0)</f>
        <v>0</v>
      </c>
    </row>
    <row r="87" spans="1:29" x14ac:dyDescent="0.35">
      <c r="B87" s="54"/>
      <c r="C87" s="36"/>
      <c r="D87" s="40"/>
      <c r="E87"/>
      <c r="J87" s="54"/>
      <c r="K87" s="36"/>
      <c r="L87" s="40"/>
      <c r="R87" s="54"/>
      <c r="S87" s="36"/>
      <c r="T87" s="40"/>
      <c r="Z87" s="54"/>
      <c r="AA87" s="36"/>
      <c r="AB87" s="40"/>
    </row>
    <row r="88" spans="1:29" x14ac:dyDescent="0.35">
      <c r="B88" s="54" t="s">
        <v>72</v>
      </c>
      <c r="C88" s="55" t="s">
        <v>104</v>
      </c>
      <c r="D88" s="56">
        <v>0</v>
      </c>
      <c r="E88">
        <f>E81+12</f>
        <v>96</v>
      </c>
      <c r="J88" s="54" t="s">
        <v>72</v>
      </c>
      <c r="K88" s="55" t="s">
        <v>104</v>
      </c>
      <c r="L88" s="56">
        <f>VLOOKUP(J88,interest,4,FALSE)</f>
        <v>0</v>
      </c>
      <c r="M88">
        <f>M81+12</f>
        <v>96</v>
      </c>
      <c r="R88" s="54" t="s">
        <v>72</v>
      </c>
      <c r="S88" s="55" t="s">
        <v>104</v>
      </c>
      <c r="T88" s="56">
        <f>VLOOKUP(R88,interest,5,FALSE)</f>
        <v>0</v>
      </c>
      <c r="U88">
        <f>U81+12</f>
        <v>96</v>
      </c>
      <c r="Z88" s="54" t="s">
        <v>72</v>
      </c>
      <c r="AA88" s="55" t="s">
        <v>104</v>
      </c>
      <c r="AB88" s="56">
        <v>0</v>
      </c>
      <c r="AC88">
        <f>AC81+12</f>
        <v>96</v>
      </c>
    </row>
    <row r="89" spans="1:29" x14ac:dyDescent="0.35">
      <c r="B89" s="54" t="str">
        <f>B88</f>
        <v>Y8</v>
      </c>
      <c r="C89" s="51" t="s">
        <v>105</v>
      </c>
      <c r="D89" s="52">
        <v>0</v>
      </c>
      <c r="E89" s="47">
        <f>IF(revenueless2,0,depri)</f>
        <v>0.05</v>
      </c>
      <c r="J89" s="54" t="str">
        <f>J88</f>
        <v>Y8</v>
      </c>
      <c r="K89" s="51" t="s">
        <v>105</v>
      </c>
      <c r="L89" s="56">
        <f>IF(M88&lt;=term,value*M89,0)</f>
        <v>0</v>
      </c>
      <c r="M89" s="47">
        <f>IF(revenueless2,0,depri)</f>
        <v>0.05</v>
      </c>
      <c r="R89" s="54" t="str">
        <f>R88</f>
        <v>Y8</v>
      </c>
      <c r="S89" s="51" t="s">
        <v>105</v>
      </c>
      <c r="T89" s="56">
        <f>IF(U88&lt;=term,value*U89,0)</f>
        <v>0</v>
      </c>
      <c r="U89" s="90">
        <f>IF(revenueless2,0,depri)</f>
        <v>0.05</v>
      </c>
      <c r="Z89" s="54" t="str">
        <f>Z88</f>
        <v>Y8</v>
      </c>
      <c r="AA89" s="51" t="s">
        <v>105</v>
      </c>
      <c r="AB89" s="52">
        <f>IF(AC88&lt;=term,value/1.1*AC89,0)</f>
        <v>0</v>
      </c>
      <c r="AC89" s="47">
        <f>IF(revenueless2,0,depri)</f>
        <v>0.05</v>
      </c>
    </row>
    <row r="90" spans="1:29" x14ac:dyDescent="0.35">
      <c r="B90" s="54" t="str">
        <f t="shared" ref="B90:B93" si="47">B89</f>
        <v>Y8</v>
      </c>
      <c r="C90" s="53" t="s">
        <v>106</v>
      </c>
      <c r="D90" s="49">
        <f>VLOOKUP(B90,rentaltable,2,FALSE)</f>
        <v>0</v>
      </c>
      <c r="E90"/>
      <c r="J90" s="54" t="str">
        <f t="shared" ref="J90:J93" si="48">J89</f>
        <v>Y8</v>
      </c>
      <c r="K90" s="53" t="s">
        <v>106</v>
      </c>
      <c r="L90" s="49">
        <v>0</v>
      </c>
      <c r="R90" s="54" t="str">
        <f t="shared" ref="R90:R93" si="49">R89</f>
        <v>Y8</v>
      </c>
      <c r="S90" s="53" t="s">
        <v>106</v>
      </c>
      <c r="T90" s="49">
        <v>0</v>
      </c>
      <c r="Z90" s="54" t="str">
        <f t="shared" ref="Z90:Z93" si="50">Z89</f>
        <v>Y8</v>
      </c>
      <c r="AA90" s="53" t="s">
        <v>106</v>
      </c>
      <c r="AB90" s="49">
        <v>0</v>
      </c>
    </row>
    <row r="91" spans="1:29" x14ac:dyDescent="0.35">
      <c r="A91" s="7"/>
      <c r="B91" s="54" t="str">
        <f t="shared" si="47"/>
        <v>Y8</v>
      </c>
      <c r="C91" s="38" t="s">
        <v>107</v>
      </c>
      <c r="D91" s="50">
        <f>SUM(D88:D90)</f>
        <v>0</v>
      </c>
      <c r="E91"/>
      <c r="J91" s="54" t="str">
        <f t="shared" si="48"/>
        <v>Y8</v>
      </c>
      <c r="K91" s="38" t="s">
        <v>107</v>
      </c>
      <c r="L91" s="50">
        <f t="shared" ref="L91" si="51">SUM(L88:L90)</f>
        <v>0</v>
      </c>
      <c r="R91" s="54" t="str">
        <f t="shared" si="49"/>
        <v>Y8</v>
      </c>
      <c r="S91" s="38" t="s">
        <v>107</v>
      </c>
      <c r="T91" s="50">
        <f t="shared" ref="T91" si="52">SUM(T88:T90)</f>
        <v>0</v>
      </c>
      <c r="Z91" s="54" t="str">
        <f t="shared" si="50"/>
        <v>Y8</v>
      </c>
      <c r="AA91" s="38" t="s">
        <v>107</v>
      </c>
      <c r="AB91" s="50">
        <f>SUM(AB88:AB90)</f>
        <v>0</v>
      </c>
    </row>
    <row r="92" spans="1:29" x14ac:dyDescent="0.35">
      <c r="B92" s="54" t="str">
        <f t="shared" si="47"/>
        <v>Y8</v>
      </c>
      <c r="C92" s="36" t="s">
        <v>108</v>
      </c>
      <c r="D92" s="40">
        <f>IF(E88&lt;=term,IF(nonprofit,0,D91*taxrate),0)</f>
        <v>0</v>
      </c>
      <c r="E92"/>
      <c r="J92" s="54" t="str">
        <f t="shared" si="48"/>
        <v>Y8</v>
      </c>
      <c r="K92" s="36" t="s">
        <v>108</v>
      </c>
      <c r="L92" s="40">
        <f>IF(M88&lt;=term,IF(nonprofit,0,L91*taxrate),0)</f>
        <v>0</v>
      </c>
      <c r="R92" s="54" t="str">
        <f t="shared" si="49"/>
        <v>Y8</v>
      </c>
      <c r="S92" s="36" t="s">
        <v>108</v>
      </c>
      <c r="T92" s="40">
        <f>IF(U88&lt;=term,IF(nonprofit,0,T91*taxrate),0)</f>
        <v>0</v>
      </c>
      <c r="Z92" s="54" t="str">
        <f t="shared" si="50"/>
        <v>Y8</v>
      </c>
      <c r="AA92" s="36" t="s">
        <v>108</v>
      </c>
      <c r="AB92" s="40">
        <f>IF(AC88&lt;=term,IF(nonprofit,0,AB91*taxrate),0)</f>
        <v>0</v>
      </c>
    </row>
    <row r="93" spans="1:29" x14ac:dyDescent="0.35">
      <c r="A93" s="7" t="s">
        <v>122</v>
      </c>
      <c r="B93" s="54" t="str">
        <f t="shared" si="47"/>
        <v>Y8</v>
      </c>
      <c r="C93" s="38" t="s">
        <v>109</v>
      </c>
      <c r="D93" s="50">
        <f>E93*(D86+D90-D92)</f>
        <v>0</v>
      </c>
      <c r="E93">
        <f>IF(E88&lt;=term,1,0)</f>
        <v>0</v>
      </c>
      <c r="J93" s="54" t="str">
        <f t="shared" si="48"/>
        <v>Y8</v>
      </c>
      <c r="K93" s="38" t="s">
        <v>109</v>
      </c>
      <c r="L93" s="50">
        <f>M93*(L86+VLOOKUP(J93,CHATTELYEARS,2,FALSE)-L92)</f>
        <v>0</v>
      </c>
      <c r="M93">
        <f>IF(M88&lt;=term,1,0)</f>
        <v>0</v>
      </c>
      <c r="R93" s="54" t="str">
        <f t="shared" si="49"/>
        <v>Y8</v>
      </c>
      <c r="S93" s="38" t="s">
        <v>109</v>
      </c>
      <c r="T93" s="50">
        <f>U93*(T86+VLOOKUP(R93,BankYears,2,FALSE)-T92)</f>
        <v>0</v>
      </c>
      <c r="U93">
        <f>IF(U88&lt;=term,1,0)</f>
        <v>0</v>
      </c>
      <c r="Z93" s="54" t="str">
        <f t="shared" si="50"/>
        <v>Y8</v>
      </c>
      <c r="AA93" s="38" t="s">
        <v>109</v>
      </c>
      <c r="AB93" s="86">
        <f>AC93*(AB86+AB62-AB92)</f>
        <v>0</v>
      </c>
      <c r="AC93">
        <f>IF(AC88&lt;=term,1,0)</f>
        <v>0</v>
      </c>
    </row>
    <row r="94" spans="1:29" x14ac:dyDescent="0.35">
      <c r="B94" s="54"/>
      <c r="C94" s="36"/>
      <c r="D94" s="40"/>
      <c r="E94"/>
      <c r="J94" s="54"/>
      <c r="K94" s="36"/>
      <c r="L94" s="40"/>
      <c r="R94" s="54"/>
      <c r="S94" s="36"/>
      <c r="T94" s="40"/>
      <c r="Z94" s="54"/>
      <c r="AA94" s="36"/>
      <c r="AB94" s="40"/>
    </row>
    <row r="95" spans="1:29" x14ac:dyDescent="0.35">
      <c r="B95" s="54" t="s">
        <v>73</v>
      </c>
      <c r="C95" s="55" t="s">
        <v>98</v>
      </c>
      <c r="D95" s="56">
        <v>0</v>
      </c>
      <c r="E95">
        <f>E88+12</f>
        <v>108</v>
      </c>
      <c r="J95" s="54" t="s">
        <v>73</v>
      </c>
      <c r="K95" s="55" t="s">
        <v>98</v>
      </c>
      <c r="L95" s="56">
        <f>VLOOKUP(J95,interest,4,FALSE)</f>
        <v>0</v>
      </c>
      <c r="M95">
        <f>M88+12</f>
        <v>108</v>
      </c>
      <c r="R95" s="54" t="s">
        <v>73</v>
      </c>
      <c r="S95" s="55" t="s">
        <v>98</v>
      </c>
      <c r="T95" s="56">
        <f>VLOOKUP(R95,interest,5,FALSE)</f>
        <v>0</v>
      </c>
      <c r="U95">
        <f>U88+12</f>
        <v>108</v>
      </c>
      <c r="Z95" s="54" t="s">
        <v>73</v>
      </c>
      <c r="AA95" s="55" t="s">
        <v>98</v>
      </c>
      <c r="AB95" s="56">
        <v>0</v>
      </c>
      <c r="AC95">
        <f>AC88+12</f>
        <v>108</v>
      </c>
    </row>
    <row r="96" spans="1:29" x14ac:dyDescent="0.35">
      <c r="B96" s="54" t="str">
        <f>B95</f>
        <v>Y9</v>
      </c>
      <c r="C96" s="51" t="s">
        <v>99</v>
      </c>
      <c r="D96" s="52">
        <v>0</v>
      </c>
      <c r="E96" s="47">
        <f>IF(revenueless2,0,depri)</f>
        <v>0.05</v>
      </c>
      <c r="J96" s="54" t="str">
        <f>J95</f>
        <v>Y9</v>
      </c>
      <c r="K96" s="51" t="s">
        <v>99</v>
      </c>
      <c r="L96" s="56">
        <f>IF(M95&lt;=term,value*M96,0)</f>
        <v>0</v>
      </c>
      <c r="M96" s="47">
        <f>IF(revenueless2,0,depri)</f>
        <v>0.05</v>
      </c>
      <c r="R96" s="54" t="str">
        <f>R95</f>
        <v>Y9</v>
      </c>
      <c r="S96" s="51" t="s">
        <v>99</v>
      </c>
      <c r="T96" s="56">
        <f>IF(U95&lt;=term,value*U96,0)</f>
        <v>0</v>
      </c>
      <c r="U96" s="90">
        <f>IF(revenueless2,0,depri)</f>
        <v>0.05</v>
      </c>
      <c r="Z96" s="54" t="str">
        <f>Z95</f>
        <v>Y9</v>
      </c>
      <c r="AA96" s="51" t="s">
        <v>99</v>
      </c>
      <c r="AB96" s="52">
        <f>IF(AC95&lt;=term,value/1.1*AC96,0)</f>
        <v>0</v>
      </c>
      <c r="AC96" s="47">
        <f>IF(revenueless2,0,depri)</f>
        <v>0.05</v>
      </c>
    </row>
    <row r="97" spans="1:29" x14ac:dyDescent="0.35">
      <c r="B97" s="54" t="str">
        <f t="shared" ref="B97:B100" si="53">B96</f>
        <v>Y9</v>
      </c>
      <c r="C97" s="53" t="s">
        <v>100</v>
      </c>
      <c r="D97" s="49">
        <f>VLOOKUP(B97,rentaltable,2,FALSE)</f>
        <v>0</v>
      </c>
      <c r="E97"/>
      <c r="J97" s="54" t="str">
        <f t="shared" ref="J97:J100" si="54">J96</f>
        <v>Y9</v>
      </c>
      <c r="K97" s="53" t="s">
        <v>100</v>
      </c>
      <c r="L97" s="49">
        <v>0</v>
      </c>
      <c r="R97" s="54" t="str">
        <f t="shared" ref="R97:R100" si="55">R96</f>
        <v>Y9</v>
      </c>
      <c r="S97" s="53" t="s">
        <v>100</v>
      </c>
      <c r="T97" s="49">
        <v>0</v>
      </c>
      <c r="Z97" s="54" t="str">
        <f t="shared" ref="Z97:Z100" si="56">Z96</f>
        <v>Y9</v>
      </c>
      <c r="AA97" s="53" t="s">
        <v>100</v>
      </c>
      <c r="AB97" s="49">
        <v>0</v>
      </c>
    </row>
    <row r="98" spans="1:29" x14ac:dyDescent="0.35">
      <c r="B98" s="54" t="str">
        <f t="shared" si="53"/>
        <v>Y9</v>
      </c>
      <c r="C98" s="38" t="s">
        <v>101</v>
      </c>
      <c r="D98" s="50">
        <f>SUM(D95:D97)</f>
        <v>0</v>
      </c>
      <c r="E98"/>
      <c r="J98" s="54" t="str">
        <f t="shared" si="54"/>
        <v>Y9</v>
      </c>
      <c r="K98" s="38" t="s">
        <v>101</v>
      </c>
      <c r="L98" s="50">
        <f t="shared" ref="L98" si="57">SUM(L95:L97)</f>
        <v>0</v>
      </c>
      <c r="R98" s="54" t="str">
        <f t="shared" si="55"/>
        <v>Y9</v>
      </c>
      <c r="S98" s="38" t="s">
        <v>101</v>
      </c>
      <c r="T98" s="50">
        <f t="shared" ref="T98" si="58">SUM(T95:T97)</f>
        <v>0</v>
      </c>
      <c r="Z98" s="54" t="str">
        <f t="shared" si="56"/>
        <v>Y9</v>
      </c>
      <c r="AA98" s="38" t="s">
        <v>101</v>
      </c>
      <c r="AB98" s="50">
        <f>SUM(AB95:AB97)</f>
        <v>0</v>
      </c>
    </row>
    <row r="99" spans="1:29" x14ac:dyDescent="0.35">
      <c r="B99" s="54" t="str">
        <f t="shared" si="53"/>
        <v>Y9</v>
      </c>
      <c r="C99" s="36" t="s">
        <v>102</v>
      </c>
      <c r="D99" s="40">
        <f>IF(E95&lt;=term,IF(nonprofit,0,D98*taxrate),0)</f>
        <v>0</v>
      </c>
      <c r="E99"/>
      <c r="J99" s="54" t="str">
        <f t="shared" si="54"/>
        <v>Y9</v>
      </c>
      <c r="K99" s="36" t="s">
        <v>102</v>
      </c>
      <c r="L99" s="40">
        <f>IF(M95&lt;=term,IF(nonprofit,0,L98*taxrate),0)</f>
        <v>0</v>
      </c>
      <c r="R99" s="54" t="str">
        <f t="shared" si="55"/>
        <v>Y9</v>
      </c>
      <c r="S99" s="36" t="s">
        <v>102</v>
      </c>
      <c r="T99" s="40">
        <f>IF(U95&lt;=term,IF(nonprofit,0,T98*taxrate),0)</f>
        <v>0</v>
      </c>
      <c r="Z99" s="54" t="str">
        <f t="shared" si="56"/>
        <v>Y9</v>
      </c>
      <c r="AA99" s="36" t="s">
        <v>102</v>
      </c>
      <c r="AB99" s="40">
        <f>IF(AC95&lt;=term,IF(nonprofit,0,AB98*taxrate),0)</f>
        <v>0</v>
      </c>
    </row>
    <row r="100" spans="1:29" x14ac:dyDescent="0.35">
      <c r="A100" s="7" t="s">
        <v>123</v>
      </c>
      <c r="B100" s="54" t="str">
        <f t="shared" si="53"/>
        <v>Y9</v>
      </c>
      <c r="C100" s="38" t="s">
        <v>103</v>
      </c>
      <c r="D100" s="50">
        <f>E100*(D93+D97-D99)</f>
        <v>0</v>
      </c>
      <c r="E100">
        <f>IF(E95&lt;=term,1,0)</f>
        <v>0</v>
      </c>
      <c r="J100" s="54" t="str">
        <f t="shared" si="54"/>
        <v>Y9</v>
      </c>
      <c r="K100" s="38" t="s">
        <v>103</v>
      </c>
      <c r="L100" s="50">
        <f>M100*(L93+VLOOKUP(J100,CHATTELYEARS,2,FALSE)-L99)</f>
        <v>0</v>
      </c>
      <c r="M100">
        <f>IF(M95&lt;=term,1,0)</f>
        <v>0</v>
      </c>
      <c r="R100" s="54" t="str">
        <f t="shared" si="55"/>
        <v>Y9</v>
      </c>
      <c r="S100" s="38" t="s">
        <v>103</v>
      </c>
      <c r="T100" s="50">
        <f>U100*(T93+VLOOKUP(R100,BankYears,2,FALSE)-T99)</f>
        <v>0</v>
      </c>
      <c r="U100">
        <f>IF(U95&lt;=term,1,0)</f>
        <v>0</v>
      </c>
      <c r="Z100" s="54" t="str">
        <f t="shared" si="56"/>
        <v>Y9</v>
      </c>
      <c r="AA100" s="38" t="s">
        <v>103</v>
      </c>
      <c r="AB100" s="86">
        <f>AC100*(AB93+AB69-AB99)</f>
        <v>0</v>
      </c>
      <c r="AC100">
        <f>IF(AC95&lt;=term,1,0)</f>
        <v>0</v>
      </c>
    </row>
    <row r="101" spans="1:29" x14ac:dyDescent="0.35">
      <c r="B101" s="54"/>
      <c r="C101" s="36"/>
      <c r="D101" s="40"/>
      <c r="E101"/>
      <c r="J101" s="54"/>
      <c r="K101" s="36"/>
      <c r="L101" s="40"/>
      <c r="R101" s="54"/>
      <c r="S101" s="36"/>
      <c r="T101" s="40"/>
      <c r="Z101" s="54"/>
      <c r="AA101" s="36"/>
      <c r="AB101" s="40"/>
    </row>
    <row r="102" spans="1:29" x14ac:dyDescent="0.35">
      <c r="B102" s="54" t="s">
        <v>74</v>
      </c>
      <c r="C102" s="55" t="s">
        <v>92</v>
      </c>
      <c r="D102" s="56">
        <v>0</v>
      </c>
      <c r="E102">
        <f>E95+12</f>
        <v>120</v>
      </c>
      <c r="J102" s="54" t="s">
        <v>74</v>
      </c>
      <c r="K102" s="55" t="s">
        <v>92</v>
      </c>
      <c r="L102" s="56">
        <f>VLOOKUP(J102,interest,4,FALSE)</f>
        <v>0</v>
      </c>
      <c r="M102">
        <f>M95+12</f>
        <v>120</v>
      </c>
      <c r="R102" s="54" t="s">
        <v>74</v>
      </c>
      <c r="S102" s="55" t="s">
        <v>92</v>
      </c>
      <c r="T102" s="56">
        <f>VLOOKUP(R102,interest,5,FALSE)</f>
        <v>0</v>
      </c>
      <c r="U102">
        <f>U95+12</f>
        <v>120</v>
      </c>
      <c r="Z102" s="54" t="s">
        <v>74</v>
      </c>
      <c r="AA102" s="55" t="s">
        <v>92</v>
      </c>
      <c r="AB102" s="56">
        <v>0</v>
      </c>
      <c r="AC102">
        <f>AC95+12</f>
        <v>120</v>
      </c>
    </row>
    <row r="103" spans="1:29" x14ac:dyDescent="0.35">
      <c r="B103" s="54" t="str">
        <f>B102</f>
        <v>Y10</v>
      </c>
      <c r="C103" s="51" t="s">
        <v>93</v>
      </c>
      <c r="D103" s="52">
        <v>0</v>
      </c>
      <c r="E103" s="47">
        <f>IF(revenueless2,0,depri)</f>
        <v>0.05</v>
      </c>
      <c r="J103" s="54" t="str">
        <f>J102</f>
        <v>Y10</v>
      </c>
      <c r="K103" s="51" t="s">
        <v>93</v>
      </c>
      <c r="L103" s="56">
        <f>IF(M102&lt;=term,value*M103,0)</f>
        <v>0</v>
      </c>
      <c r="M103" s="47">
        <f>IF(revenueless2,0,depri)</f>
        <v>0.05</v>
      </c>
      <c r="R103" s="54" t="str">
        <f>R102</f>
        <v>Y10</v>
      </c>
      <c r="S103" s="51" t="s">
        <v>93</v>
      </c>
      <c r="T103" s="56">
        <f>IF(U102&lt;=term,value*U103,0)</f>
        <v>0</v>
      </c>
      <c r="U103" s="90">
        <f>IF(revenueless2,0,depri)</f>
        <v>0.05</v>
      </c>
      <c r="Z103" s="54" t="str">
        <f>Z102</f>
        <v>Y10</v>
      </c>
      <c r="AA103" s="51" t="s">
        <v>93</v>
      </c>
      <c r="AB103" s="52">
        <f>IF(AC102&lt;=term,value/1.1*AC103,0)</f>
        <v>0</v>
      </c>
      <c r="AC103" s="47">
        <f>IF(revenueless2,0,depri)</f>
        <v>0.05</v>
      </c>
    </row>
    <row r="104" spans="1:29" x14ac:dyDescent="0.35">
      <c r="B104" s="54" t="str">
        <f t="shared" ref="B104:B107" si="59">B103</f>
        <v>Y10</v>
      </c>
      <c r="C104" s="53" t="s">
        <v>94</v>
      </c>
      <c r="D104" s="49">
        <f>VLOOKUP(B104,rentaltable,2,FALSE)</f>
        <v>0</v>
      </c>
      <c r="E104"/>
      <c r="J104" s="54" t="str">
        <f t="shared" ref="J104:J107" si="60">J103</f>
        <v>Y10</v>
      </c>
      <c r="K104" s="53" t="s">
        <v>94</v>
      </c>
      <c r="L104" s="49">
        <v>0</v>
      </c>
      <c r="R104" s="54" t="str">
        <f t="shared" ref="R104:R107" si="61">R103</f>
        <v>Y10</v>
      </c>
      <c r="S104" s="53" t="s">
        <v>94</v>
      </c>
      <c r="T104" s="49">
        <v>0</v>
      </c>
      <c r="Z104" s="54" t="str">
        <f t="shared" ref="Z104:Z107" si="62">Z103</f>
        <v>Y10</v>
      </c>
      <c r="AA104" s="53" t="s">
        <v>94</v>
      </c>
      <c r="AB104" s="49">
        <v>0</v>
      </c>
    </row>
    <row r="105" spans="1:29" x14ac:dyDescent="0.35">
      <c r="B105" s="54" t="str">
        <f t="shared" si="59"/>
        <v>Y10</v>
      </c>
      <c r="C105" s="38" t="s">
        <v>95</v>
      </c>
      <c r="D105" s="50">
        <f>SUM(D102:D104)</f>
        <v>0</v>
      </c>
      <c r="E105"/>
      <c r="J105" s="54" t="str">
        <f t="shared" si="60"/>
        <v>Y10</v>
      </c>
      <c r="K105" s="38" t="s">
        <v>95</v>
      </c>
      <c r="L105" s="50">
        <f t="shared" ref="L105" si="63">SUM(L102:L104)</f>
        <v>0</v>
      </c>
      <c r="R105" s="54" t="str">
        <f t="shared" si="61"/>
        <v>Y10</v>
      </c>
      <c r="S105" s="38" t="s">
        <v>95</v>
      </c>
      <c r="T105" s="50">
        <f t="shared" ref="T105" si="64">SUM(T102:T104)</f>
        <v>0</v>
      </c>
      <c r="Z105" s="54" t="str">
        <f t="shared" si="62"/>
        <v>Y10</v>
      </c>
      <c r="AA105" s="38" t="s">
        <v>95</v>
      </c>
      <c r="AB105" s="50">
        <f>SUM(AB102:AB104)</f>
        <v>0</v>
      </c>
    </row>
    <row r="106" spans="1:29" x14ac:dyDescent="0.35">
      <c r="B106" s="54" t="str">
        <f t="shared" si="59"/>
        <v>Y10</v>
      </c>
      <c r="C106" s="36" t="s">
        <v>96</v>
      </c>
      <c r="D106" s="40">
        <f>IF(E102&lt;=term,IF(nonprofit,0,D105*taxrate),0)</f>
        <v>0</v>
      </c>
      <c r="E106"/>
      <c r="J106" s="54" t="str">
        <f t="shared" si="60"/>
        <v>Y10</v>
      </c>
      <c r="K106" s="36" t="s">
        <v>96</v>
      </c>
      <c r="L106" s="40">
        <f>IF(M102&lt;=term,IF(nonprofit,0,L105*taxrate),0)</f>
        <v>0</v>
      </c>
      <c r="R106" s="54" t="str">
        <f t="shared" si="61"/>
        <v>Y10</v>
      </c>
      <c r="S106" s="36" t="s">
        <v>96</v>
      </c>
      <c r="T106" s="40">
        <f>IF(U102&lt;=term,IF(nonprofit,0,T105*taxrate),0)</f>
        <v>0</v>
      </c>
      <c r="Z106" s="54" t="str">
        <f t="shared" si="62"/>
        <v>Y10</v>
      </c>
      <c r="AA106" s="36" t="s">
        <v>96</v>
      </c>
      <c r="AB106" s="40">
        <f>IF(AC102&lt;=term,IF(nonprofit,0,AB105*taxrate),0)</f>
        <v>0</v>
      </c>
    </row>
    <row r="107" spans="1:29" x14ac:dyDescent="0.35">
      <c r="A107" s="7" t="s">
        <v>124</v>
      </c>
      <c r="B107" s="54" t="str">
        <f t="shared" si="59"/>
        <v>Y10</v>
      </c>
      <c r="C107" s="38" t="s">
        <v>97</v>
      </c>
      <c r="D107" s="50">
        <f>E107*(D100+D104-D106)</f>
        <v>0</v>
      </c>
      <c r="E107">
        <f>IF(E102&lt;=term,1,0)</f>
        <v>0</v>
      </c>
      <c r="J107" s="54" t="str">
        <f t="shared" si="60"/>
        <v>Y10</v>
      </c>
      <c r="K107" s="38" t="s">
        <v>97</v>
      </c>
      <c r="L107" s="50">
        <f>M107*(L100+VLOOKUP(J107,CHATTELYEARS,2,FALSE)-L106)</f>
        <v>0</v>
      </c>
      <c r="M107">
        <f>IF(M102&lt;=term,1,0)</f>
        <v>0</v>
      </c>
      <c r="R107" s="54" t="str">
        <f t="shared" si="61"/>
        <v>Y10</v>
      </c>
      <c r="S107" s="38" t="s">
        <v>97</v>
      </c>
      <c r="T107" s="50">
        <f>U107*(T100+VLOOKUP(R107,BankYears,2,FALSE)-T106)</f>
        <v>0</v>
      </c>
      <c r="U107">
        <f>IF(U102&lt;=term,1,0)</f>
        <v>0</v>
      </c>
      <c r="Z107" s="54" t="str">
        <f t="shared" si="62"/>
        <v>Y10</v>
      </c>
      <c r="AA107" s="38" t="s">
        <v>97</v>
      </c>
      <c r="AB107" s="86">
        <f>AC107*(AB100+AB76-AB106)</f>
        <v>0</v>
      </c>
      <c r="AC107">
        <f>IF(AC102&lt;=term,1,0)</f>
        <v>0</v>
      </c>
    </row>
    <row r="108" spans="1:29" x14ac:dyDescent="0.35">
      <c r="B108" s="18"/>
      <c r="C108" s="36"/>
      <c r="D108" s="40"/>
      <c r="J108" s="54"/>
      <c r="K108" s="36"/>
      <c r="L108" s="20"/>
      <c r="R108" s="18"/>
      <c r="S108" s="36"/>
      <c r="T108" s="40"/>
      <c r="Z108" s="18"/>
      <c r="AA108" s="36"/>
      <c r="AB108" s="20"/>
    </row>
    <row r="109" spans="1:29" x14ac:dyDescent="0.35">
      <c r="B109" s="18" t="s">
        <v>58</v>
      </c>
      <c r="C109" s="36"/>
      <c r="D109" s="40"/>
      <c r="J109" s="54" t="s">
        <v>58</v>
      </c>
      <c r="K109" s="36"/>
      <c r="L109" s="20"/>
      <c r="R109" s="18" t="s">
        <v>58</v>
      </c>
      <c r="S109" s="36"/>
      <c r="T109" s="40"/>
      <c r="Z109" s="18" t="s">
        <v>58</v>
      </c>
      <c r="AA109" s="36"/>
      <c r="AB109" s="20"/>
    </row>
    <row r="110" spans="1:29" x14ac:dyDescent="0.35">
      <c r="B110" s="18"/>
      <c r="C110" s="60" t="s">
        <v>59</v>
      </c>
      <c r="D110" s="63">
        <f>D22</f>
        <v>1627.7253931250798</v>
      </c>
      <c r="J110" s="18"/>
      <c r="K110" s="60" t="s">
        <v>59</v>
      </c>
      <c r="L110" s="61"/>
      <c r="R110" s="18"/>
      <c r="S110" s="60" t="s">
        <v>59</v>
      </c>
      <c r="T110" s="63"/>
      <c r="Z110" s="18"/>
      <c r="AA110" s="60" t="s">
        <v>59</v>
      </c>
      <c r="AB110" s="61">
        <v>0</v>
      </c>
    </row>
    <row r="111" spans="1:29" x14ac:dyDescent="0.35">
      <c r="B111" s="18"/>
      <c r="C111" s="60" t="s">
        <v>60</v>
      </c>
      <c r="D111" s="89">
        <f>D110*$D11</f>
        <v>488.31761793752389</v>
      </c>
      <c r="J111" s="18"/>
      <c r="K111" s="60" t="s">
        <v>60</v>
      </c>
      <c r="L111" s="61"/>
      <c r="R111" s="18"/>
      <c r="S111" s="60" t="s">
        <v>60</v>
      </c>
      <c r="T111" s="63"/>
      <c r="Z111" s="18"/>
      <c r="AA111" s="60" t="s">
        <v>60</v>
      </c>
      <c r="AB111" s="61"/>
    </row>
    <row r="112" spans="1:29" x14ac:dyDescent="0.35">
      <c r="C112" s="9"/>
      <c r="D112" s="64"/>
      <c r="J112" s="7"/>
      <c r="K112" s="9"/>
      <c r="L112" s="34"/>
      <c r="R112" s="7"/>
      <c r="S112" s="9"/>
      <c r="T112" s="64"/>
      <c r="Z112" s="7"/>
      <c r="AA112" s="9"/>
      <c r="AB112" s="34"/>
    </row>
    <row r="113" spans="3:28" x14ac:dyDescent="0.35">
      <c r="C113" s="9"/>
      <c r="D113" s="64"/>
      <c r="J113" s="7"/>
      <c r="K113" s="9"/>
      <c r="L113" s="34"/>
      <c r="R113" s="7"/>
      <c r="S113" s="9"/>
      <c r="T113" s="64"/>
      <c r="Z113" s="7"/>
      <c r="AA113" s="9"/>
      <c r="AB113" s="34"/>
    </row>
    <row r="114" spans="3:28" ht="16.8" x14ac:dyDescent="0.35">
      <c r="C114" s="21" t="s">
        <v>64</v>
      </c>
      <c r="D114" s="65">
        <f>D35-D43-D50-D57-D64-D71+D110-D111-D78-D85-D92-D99-D106</f>
        <v>83176.767588691582</v>
      </c>
      <c r="J114" s="7"/>
      <c r="K114" s="21" t="s">
        <v>64</v>
      </c>
      <c r="L114" s="35">
        <f>L35-L37-L43-L50-L57-L64-L71+L110-L111-L78-L85-L92-L99-L106</f>
        <v>108706.56954981512</v>
      </c>
      <c r="R114" s="7"/>
      <c r="S114" s="21" t="s">
        <v>64</v>
      </c>
      <c r="T114" s="65">
        <f>T35-T37-T43-T50-T57-T64-T71+T110-T111-T78-T85-T92-T99-T106</f>
        <v>94466.806483865104</v>
      </c>
      <c r="Z114" s="7"/>
      <c r="AA114" s="21" t="s">
        <v>64</v>
      </c>
      <c r="AB114" s="35">
        <f>AB35-AB37-AB43-AB50-AB57-AB64-AB71+AB110-AB111</f>
        <v>93180.886363636368</v>
      </c>
    </row>
    <row r="115" spans="3:28" x14ac:dyDescent="0.35">
      <c r="D115" s="34"/>
      <c r="K115" s="1"/>
      <c r="L115" s="34"/>
    </row>
    <row r="116" spans="3:28" x14ac:dyDescent="0.35">
      <c r="D116" s="34"/>
      <c r="K116" s="1"/>
      <c r="L116" s="34"/>
    </row>
    <row r="117" spans="3:28" x14ac:dyDescent="0.35">
      <c r="D117" s="34"/>
      <c r="K117" s="1"/>
      <c r="L117" s="34"/>
    </row>
    <row r="118" spans="3:28" x14ac:dyDescent="0.35">
      <c r="D118" s="34"/>
      <c r="K118" s="1"/>
      <c r="L118" s="34"/>
    </row>
    <row r="119" spans="3:28" x14ac:dyDescent="0.35">
      <c r="D119" s="34"/>
      <c r="K119" s="1"/>
      <c r="L119" s="34"/>
    </row>
    <row r="120" spans="3:28" x14ac:dyDescent="0.35">
      <c r="D120" s="34"/>
      <c r="K120" s="1"/>
      <c r="L120" s="34"/>
    </row>
    <row r="121" spans="3:28" x14ac:dyDescent="0.35">
      <c r="D121" s="34"/>
      <c r="K121" s="1"/>
      <c r="L121" s="34"/>
    </row>
    <row r="122" spans="3:28" x14ac:dyDescent="0.35">
      <c r="K122" s="1"/>
      <c r="L122" s="7"/>
    </row>
    <row r="123" spans="3:28" x14ac:dyDescent="0.35">
      <c r="K123" s="1"/>
      <c r="L123" s="7"/>
    </row>
    <row r="124" spans="3:28" x14ac:dyDescent="0.35">
      <c r="K124" s="1"/>
      <c r="L124" s="7"/>
    </row>
    <row r="125" spans="3:28" x14ac:dyDescent="0.35">
      <c r="K125" s="1"/>
    </row>
    <row r="128" spans="3:28" x14ac:dyDescent="0.35">
      <c r="AA128" s="41"/>
    </row>
    <row r="129" spans="27:27" x14ac:dyDescent="0.35">
      <c r="AA129" s="41"/>
    </row>
    <row r="130" spans="27:27" x14ac:dyDescent="0.35">
      <c r="AA130" s="41"/>
    </row>
    <row r="131" spans="27:27" x14ac:dyDescent="0.35">
      <c r="AA131" s="41"/>
    </row>
    <row r="132" spans="27:27" x14ac:dyDescent="0.35">
      <c r="AA132" s="41"/>
    </row>
    <row r="133" spans="27:27" x14ac:dyDescent="0.35">
      <c r="AA133" s="41"/>
    </row>
    <row r="134" spans="27:27" x14ac:dyDescent="0.35">
      <c r="AA134" s="41"/>
    </row>
    <row r="135" spans="27:27" x14ac:dyDescent="0.35">
      <c r="AA135" s="41"/>
    </row>
    <row r="136" spans="27:27" x14ac:dyDescent="0.35">
      <c r="AA136" s="41"/>
    </row>
    <row r="137" spans="27:27" x14ac:dyDescent="0.35">
      <c r="AA137" s="41"/>
    </row>
    <row r="138" spans="27:27" x14ac:dyDescent="0.35">
      <c r="AA138" s="41"/>
    </row>
    <row r="139" spans="27:27" x14ac:dyDescent="0.35">
      <c r="AA139" s="41"/>
    </row>
    <row r="140" spans="27:27" x14ac:dyDescent="0.35">
      <c r="AA140" s="41"/>
    </row>
    <row r="141" spans="27:27" x14ac:dyDescent="0.35">
      <c r="AA141" s="41"/>
    </row>
    <row r="142" spans="27:27" x14ac:dyDescent="0.35">
      <c r="AA142" s="41"/>
    </row>
    <row r="143" spans="27:27" x14ac:dyDescent="0.35">
      <c r="AA143" s="41"/>
    </row>
    <row r="144" spans="27:27" x14ac:dyDescent="0.35">
      <c r="AA144" s="41"/>
    </row>
    <row r="145" spans="27:27" x14ac:dyDescent="0.35">
      <c r="AA145" s="41"/>
    </row>
    <row r="146" spans="27:27" x14ac:dyDescent="0.35">
      <c r="AA146" s="41"/>
    </row>
  </sheetData>
  <sheetProtection algorithmName="SHA-512" hashValue="UiIfXEfQaCfpdEu1s0zmvweNFHmEaNl1RN3FxQ6bPXDB4U3F8EIrHyrmZVv9aU/EyxeyeKkngtVARUbgMLP/0g==" saltValue="7STPOKryxqFSUoEuMEOlSw=="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 input</vt:lpstr>
      <vt:lpstr>Interest</vt:lpstr>
      <vt:lpstr>Calculations</vt:lpstr>
      <vt:lpstr>BankBrok</vt:lpstr>
      <vt:lpstr>BankPerc</vt:lpstr>
      <vt:lpstr>BankYears</vt:lpstr>
      <vt:lpstr>ChattelBrok</vt:lpstr>
      <vt:lpstr>ChattelPerc</vt:lpstr>
      <vt:lpstr>CHATTELYEARS</vt:lpstr>
      <vt:lpstr>depri</vt:lpstr>
      <vt:lpstr>EOFTable</vt:lpstr>
      <vt:lpstr>interest</vt:lpstr>
      <vt:lpstr>nonprofit</vt:lpstr>
      <vt:lpstr>RentalBrok</vt:lpstr>
      <vt:lpstr>rentalPerc</vt:lpstr>
      <vt:lpstr>rentaltable</vt:lpstr>
      <vt:lpstr>revenueless2</vt:lpstr>
      <vt:lpstr>taxrate</vt:lpstr>
      <vt:lpstr>term</vt:lpstr>
      <vt:lpstr>value</vt:lpstr>
      <vt:lpstr>Value1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Mima</cp:lastModifiedBy>
  <dcterms:created xsi:type="dcterms:W3CDTF">2016-08-15T09:32:46Z</dcterms:created>
  <dcterms:modified xsi:type="dcterms:W3CDTF">2016-08-29T17:35:33Z</dcterms:modified>
</cp:coreProperties>
</file>